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0" yWindow="-110" windowWidth="15600" windowHeight="10430" tabRatio="601" firstSheet="1" activeTab="3"/>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Processing'!$A$3:$J$181</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Details'!$A$1:$N$145</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Loss'!$A$1:$H$54</definedName>
    <definedName name="_xlnm.Print_Area" localSheetId="7">'7.Balance Sheet'!$A$1:$H$48</definedName>
    <definedName name="_xlnm.Print_Area" localSheetId="8">'8.Cash Flow '!$A$1:$I$34</definedName>
    <definedName name="_xlnm.Print_Area" localSheetId="9">'9. Financial indiacators'!$B$1:$J$184</definedName>
  </definedNames>
  <calcPr calcId="152511"/>
</workbook>
</file>

<file path=xl/calcChain.xml><?xml version="1.0" encoding="utf-8"?>
<calcChain xmlns="http://schemas.openxmlformats.org/spreadsheetml/2006/main">
  <c r="G34" i="57" l="1"/>
  <c r="F56" i="57"/>
  <c r="F58" i="57"/>
  <c r="F57" i="57"/>
  <c r="F54" i="57"/>
  <c r="F53" i="57"/>
  <c r="F50" i="57"/>
  <c r="F49" i="57"/>
  <c r="F48" i="57"/>
  <c r="F47" i="57"/>
  <c r="F46" i="57"/>
  <c r="F45" i="57"/>
  <c r="F44" i="57"/>
  <c r="F43" i="57"/>
  <c r="F42" i="57"/>
  <c r="F41" i="57"/>
  <c r="F39" i="57"/>
  <c r="F36" i="57"/>
  <c r="F35" i="57"/>
  <c r="B39" i="57"/>
  <c r="B40" i="57" s="1"/>
  <c r="B41" i="57" s="1"/>
  <c r="B42" i="57" s="1"/>
  <c r="B43" i="57" s="1"/>
  <c r="B44" i="57" s="1"/>
  <c r="B45" i="57" s="1"/>
  <c r="B46" i="57" s="1"/>
  <c r="B47" i="57" s="1"/>
  <c r="B48" i="57" s="1"/>
  <c r="B49" i="57" s="1"/>
  <c r="B50" i="57" s="1"/>
  <c r="B51" i="57" s="1"/>
  <c r="B52" i="57" s="1"/>
  <c r="B53" i="57" s="1"/>
  <c r="B54" i="57" s="1"/>
  <c r="B55" i="57" s="1"/>
  <c r="B56" i="57" s="1"/>
  <c r="B57" i="57" s="1"/>
  <c r="B58" i="57" s="1"/>
  <c r="B59" i="57" s="1"/>
  <c r="B60" i="57" s="1"/>
  <c r="B61" i="57" s="1"/>
  <c r="B68" i="81" l="1"/>
  <c r="J173" i="72"/>
  <c r="I173" i="72"/>
  <c r="H173" i="72"/>
  <c r="G173" i="72"/>
  <c r="F173" i="72"/>
  <c r="E173" i="72"/>
  <c r="D173" i="72"/>
  <c r="D172" i="72"/>
  <c r="C68" i="81"/>
  <c r="D68" i="81"/>
  <c r="E68" i="81"/>
  <c r="F68" i="81"/>
  <c r="G68" i="81"/>
  <c r="H68" i="81"/>
  <c r="H14" i="72"/>
  <c r="H38" i="72"/>
  <c r="H64" i="72"/>
  <c r="B77" i="81"/>
  <c r="C77" i="81"/>
  <c r="D77" i="81"/>
  <c r="E77" i="81"/>
  <c r="F77" i="81"/>
  <c r="G77" i="81"/>
  <c r="H77" i="81"/>
  <c r="H23" i="72"/>
  <c r="H47" i="72"/>
  <c r="B74" i="81"/>
  <c r="C74" i="81"/>
  <c r="D74" i="81"/>
  <c r="E74" i="81"/>
  <c r="F74" i="81"/>
  <c r="G74" i="81"/>
  <c r="H74" i="81"/>
  <c r="H20" i="72"/>
  <c r="H44" i="72"/>
  <c r="B85" i="81"/>
  <c r="C85" i="81"/>
  <c r="D85" i="81"/>
  <c r="E85" i="81"/>
  <c r="F85" i="81"/>
  <c r="G85" i="81"/>
  <c r="H85" i="81"/>
  <c r="H31" i="72"/>
  <c r="H55" i="72"/>
  <c r="H96" i="72"/>
  <c r="B72" i="81"/>
  <c r="C72" i="81"/>
  <c r="D72" i="81"/>
  <c r="E72" i="81"/>
  <c r="F72" i="81"/>
  <c r="G72" i="81"/>
  <c r="H72" i="81"/>
  <c r="H18" i="72"/>
  <c r="H42" i="72"/>
  <c r="H79" i="72"/>
  <c r="B70" i="81"/>
  <c r="C70" i="81"/>
  <c r="D70" i="81"/>
  <c r="E70" i="81"/>
  <c r="F70" i="81"/>
  <c r="G70" i="81"/>
  <c r="H70" i="81"/>
  <c r="H16" i="72"/>
  <c r="H40" i="72"/>
  <c r="H71" i="72"/>
  <c r="J144" i="72"/>
  <c r="G14" i="72"/>
  <c r="G38" i="72"/>
  <c r="G64" i="72"/>
  <c r="G23" i="72"/>
  <c r="G47" i="72"/>
  <c r="G20" i="72"/>
  <c r="G44" i="72"/>
  <c r="G31" i="72"/>
  <c r="G55" i="72"/>
  <c r="G96" i="72"/>
  <c r="G18" i="72"/>
  <c r="G42" i="72"/>
  <c r="G79" i="72"/>
  <c r="G16" i="72"/>
  <c r="G40" i="72"/>
  <c r="G71" i="72"/>
  <c r="I144" i="72"/>
  <c r="F14" i="72"/>
  <c r="F38" i="72"/>
  <c r="F64" i="72"/>
  <c r="F23" i="72"/>
  <c r="F47" i="72"/>
  <c r="F20" i="72"/>
  <c r="F44" i="72"/>
  <c r="F31" i="72"/>
  <c r="F55" i="72"/>
  <c r="F96" i="72"/>
  <c r="F18" i="72"/>
  <c r="F42" i="72"/>
  <c r="F79" i="72"/>
  <c r="F16" i="72"/>
  <c r="F40" i="72"/>
  <c r="F71" i="72"/>
  <c r="H144" i="72"/>
  <c r="E14" i="72"/>
  <c r="E38" i="72"/>
  <c r="E64" i="72"/>
  <c r="E23" i="72"/>
  <c r="E47" i="72"/>
  <c r="E20" i="72"/>
  <c r="E44" i="72"/>
  <c r="E31" i="72"/>
  <c r="E55" i="72"/>
  <c r="E96" i="72"/>
  <c r="E18" i="72"/>
  <c r="E42" i="72"/>
  <c r="E79" i="72"/>
  <c r="E16" i="72"/>
  <c r="E40" i="72"/>
  <c r="E71" i="72"/>
  <c r="G144" i="72"/>
  <c r="D14" i="72"/>
  <c r="D38" i="72"/>
  <c r="D64" i="72"/>
  <c r="D23" i="72"/>
  <c r="D47" i="72"/>
  <c r="D20" i="72"/>
  <c r="D44" i="72"/>
  <c r="D31" i="72"/>
  <c r="D55" i="72"/>
  <c r="D96" i="72"/>
  <c r="D18" i="72"/>
  <c r="D42" i="72"/>
  <c r="D79" i="72"/>
  <c r="D16" i="72"/>
  <c r="D40" i="72"/>
  <c r="D71" i="72"/>
  <c r="F144" i="72"/>
  <c r="C14" i="72"/>
  <c r="C38" i="72"/>
  <c r="C64" i="72"/>
  <c r="C23" i="72"/>
  <c r="C47" i="72"/>
  <c r="C20" i="72"/>
  <c r="C44" i="72"/>
  <c r="C31" i="72"/>
  <c r="C55" i="72"/>
  <c r="C96" i="72"/>
  <c r="C18" i="72"/>
  <c r="C42" i="72"/>
  <c r="C79" i="72"/>
  <c r="C16" i="72"/>
  <c r="C40" i="72"/>
  <c r="C71" i="72"/>
  <c r="E144" i="72"/>
  <c r="B14" i="72"/>
  <c r="B38" i="72"/>
  <c r="B64" i="72"/>
  <c r="B23" i="72"/>
  <c r="B47" i="72"/>
  <c r="B20" i="72"/>
  <c r="B44" i="72"/>
  <c r="B31" i="72"/>
  <c r="B55" i="72"/>
  <c r="B96" i="72"/>
  <c r="B18" i="72"/>
  <c r="B42" i="72"/>
  <c r="B79" i="72"/>
  <c r="B16" i="72"/>
  <c r="B40" i="72"/>
  <c r="B71" i="72"/>
  <c r="D144" i="72"/>
  <c r="H95" i="72"/>
  <c r="G95" i="72"/>
  <c r="F95" i="72"/>
  <c r="E95" i="72"/>
  <c r="D95" i="72"/>
  <c r="C95" i="72"/>
  <c r="B95" i="72"/>
  <c r="B7" i="81"/>
  <c r="B9" i="81"/>
  <c r="C32" i="81"/>
  <c r="D34" i="81"/>
  <c r="B111" i="81"/>
  <c r="B110" i="81"/>
  <c r="C23" i="81"/>
  <c r="D25" i="81"/>
  <c r="B102" i="81"/>
  <c r="D21" i="81"/>
  <c r="B99" i="81"/>
  <c r="D19" i="81"/>
  <c r="B97" i="81"/>
  <c r="D17" i="81"/>
  <c r="B95" i="81"/>
  <c r="D15" i="81"/>
  <c r="B93" i="81"/>
  <c r="F34" i="81"/>
  <c r="H34" i="81"/>
  <c r="B60" i="81"/>
  <c r="F21" i="81"/>
  <c r="H21" i="81"/>
  <c r="B49" i="81"/>
  <c r="D14" i="81"/>
  <c r="B92" i="81"/>
  <c r="C9" i="53"/>
  <c r="C62" i="53"/>
  <c r="D130" i="53"/>
  <c r="C10" i="53"/>
  <c r="C63" i="53"/>
  <c r="D131" i="53"/>
  <c r="D16" i="81"/>
  <c r="B94" i="81"/>
  <c r="C11" i="53"/>
  <c r="C64" i="53"/>
  <c r="D132" i="53"/>
  <c r="C12" i="53"/>
  <c r="C65" i="53"/>
  <c r="D133" i="53"/>
  <c r="D18" i="81"/>
  <c r="B96" i="81"/>
  <c r="C13" i="53"/>
  <c r="C66" i="53"/>
  <c r="D134" i="53"/>
  <c r="C14" i="53"/>
  <c r="C67" i="53"/>
  <c r="D135" i="53"/>
  <c r="D20" i="81"/>
  <c r="B98" i="81"/>
  <c r="C15" i="53"/>
  <c r="C68" i="53"/>
  <c r="D136" i="53"/>
  <c r="C16" i="53"/>
  <c r="C69" i="53"/>
  <c r="D137" i="53"/>
  <c r="D24" i="81"/>
  <c r="B101" i="81"/>
  <c r="C18" i="53"/>
  <c r="C71" i="53"/>
  <c r="D139" i="53"/>
  <c r="C19" i="53"/>
  <c r="C72" i="53"/>
  <c r="D140" i="53"/>
  <c r="D26" i="81"/>
  <c r="B103" i="81"/>
  <c r="C20" i="53"/>
  <c r="C73" i="53"/>
  <c r="D141" i="53"/>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27" i="53"/>
  <c r="C80" i="53"/>
  <c r="D148" i="53"/>
  <c r="C28" i="53"/>
  <c r="C81" i="53"/>
  <c r="D149" i="53"/>
  <c r="D36" i="81"/>
  <c r="B112" i="81"/>
  <c r="C29" i="53"/>
  <c r="C82" i="53"/>
  <c r="D150" i="53"/>
  <c r="C114" i="53"/>
  <c r="D182" i="53"/>
  <c r="C115" i="53"/>
  <c r="D183" i="53"/>
  <c r="C116" i="53"/>
  <c r="D184" i="53"/>
  <c r="C118" i="53"/>
  <c r="D187" i="53"/>
  <c r="C119" i="53"/>
  <c r="D188" i="53"/>
  <c r="D191" i="53"/>
  <c r="E34" i="61"/>
  <c r="F14" i="81"/>
  <c r="H14" i="81"/>
  <c r="B42" i="81"/>
  <c r="B11" i="55"/>
  <c r="B68" i="55"/>
  <c r="B120" i="55"/>
  <c r="D178" i="55"/>
  <c r="F15" i="81"/>
  <c r="H15" i="81"/>
  <c r="B43" i="81"/>
  <c r="B12" i="55"/>
  <c r="B69" i="55"/>
  <c r="B121" i="55"/>
  <c r="D179" i="55"/>
  <c r="F16" i="81"/>
  <c r="H16" i="81"/>
  <c r="B44" i="81"/>
  <c r="B13" i="55"/>
  <c r="B70" i="55"/>
  <c r="B122" i="55"/>
  <c r="D180" i="55"/>
  <c r="F17" i="81"/>
  <c r="H17" i="81"/>
  <c r="B45" i="81"/>
  <c r="B14" i="55"/>
  <c r="B71" i="55"/>
  <c r="B123" i="55"/>
  <c r="D181" i="55"/>
  <c r="F18" i="81"/>
  <c r="H18" i="81"/>
  <c r="B46" i="81"/>
  <c r="B15" i="55"/>
  <c r="B72" i="55"/>
  <c r="B124" i="55"/>
  <c r="D182" i="55"/>
  <c r="F19" i="81"/>
  <c r="H19" i="81"/>
  <c r="B47" i="81"/>
  <c r="B16" i="55"/>
  <c r="B73" i="55"/>
  <c r="B125" i="55"/>
  <c r="D183" i="55"/>
  <c r="F20" i="81"/>
  <c r="H20" i="81"/>
  <c r="B48" i="81"/>
  <c r="B17" i="55"/>
  <c r="B74" i="55"/>
  <c r="B126" i="55"/>
  <c r="D184" i="55"/>
  <c r="B18" i="55"/>
  <c r="B75" i="55"/>
  <c r="B127" i="55"/>
  <c r="D185" i="55"/>
  <c r="D22" i="81"/>
  <c r="F22" i="81"/>
  <c r="H22" i="81"/>
  <c r="B50" i="81"/>
  <c r="B19" i="55"/>
  <c r="B76" i="55"/>
  <c r="B128" i="55"/>
  <c r="D186" i="55"/>
  <c r="F24" i="81"/>
  <c r="H24" i="81"/>
  <c r="B51" i="81"/>
  <c r="B20" i="55"/>
  <c r="B77" i="55"/>
  <c r="B129" i="55"/>
  <c r="D187" i="55"/>
  <c r="F25" i="81"/>
  <c r="H25" i="81"/>
  <c r="B52" i="81"/>
  <c r="B21" i="55"/>
  <c r="B78" i="55"/>
  <c r="B130" i="55"/>
  <c r="D188" i="55"/>
  <c r="F26" i="81"/>
  <c r="H26" i="81"/>
  <c r="B53" i="81"/>
  <c r="B22" i="55"/>
  <c r="B79" i="55"/>
  <c r="B131" i="55"/>
  <c r="D189" i="55"/>
  <c r="F27" i="81"/>
  <c r="H27" i="81"/>
  <c r="B54" i="81"/>
  <c r="B23" i="55"/>
  <c r="B80" i="55"/>
  <c r="B132" i="55"/>
  <c r="D190" i="55"/>
  <c r="F28" i="81"/>
  <c r="H28" i="81"/>
  <c r="B55" i="81"/>
  <c r="B24" i="55"/>
  <c r="B81" i="55"/>
  <c r="B133" i="55"/>
  <c r="D191" i="55"/>
  <c r="F29" i="81"/>
  <c r="H29" i="81"/>
  <c r="B56" i="81"/>
  <c r="B25" i="55"/>
  <c r="B82" i="55"/>
  <c r="B134" i="55"/>
  <c r="D192" i="55"/>
  <c r="F30" i="81"/>
  <c r="H30" i="81"/>
  <c r="B57" i="81"/>
  <c r="B26" i="55"/>
  <c r="B83" i="55"/>
  <c r="B135" i="55"/>
  <c r="D193" i="55"/>
  <c r="F31" i="81"/>
  <c r="H31" i="81"/>
  <c r="B58" i="81"/>
  <c r="B27" i="55"/>
  <c r="B84" i="55"/>
  <c r="B136" i="55"/>
  <c r="D194" i="55"/>
  <c r="D33" i="81"/>
  <c r="F33" i="81"/>
  <c r="H33" i="81"/>
  <c r="B59" i="81"/>
  <c r="B28" i="55"/>
  <c r="B85" i="55"/>
  <c r="B137" i="55"/>
  <c r="D195" i="55"/>
  <c r="B29" i="55"/>
  <c r="B86" i="55"/>
  <c r="B138" i="55"/>
  <c r="D196" i="55"/>
  <c r="D35" i="81"/>
  <c r="F35" i="81"/>
  <c r="H35" i="81"/>
  <c r="B61" i="81"/>
  <c r="B30" i="55"/>
  <c r="B87" i="55"/>
  <c r="B139" i="55"/>
  <c r="D197" i="55"/>
  <c r="F36" i="81"/>
  <c r="H36" i="81"/>
  <c r="B62" i="81"/>
  <c r="B31" i="55"/>
  <c r="B88" i="55"/>
  <c r="B140" i="55"/>
  <c r="D198" i="55"/>
  <c r="B33" i="55"/>
  <c r="B65" i="55"/>
  <c r="D200" i="55"/>
  <c r="D229" i="55"/>
  <c r="E36" i="61"/>
  <c r="B34" i="72"/>
  <c r="D139" i="72"/>
  <c r="B63" i="72"/>
  <c r="D140" i="72"/>
  <c r="B78" i="72"/>
  <c r="D141" i="72"/>
  <c r="B70" i="72"/>
  <c r="D142" i="72"/>
  <c r="B67" i="81"/>
  <c r="B13" i="72"/>
  <c r="B69" i="81"/>
  <c r="B15" i="72"/>
  <c r="B71" i="81"/>
  <c r="B17" i="72"/>
  <c r="B73" i="81"/>
  <c r="B19" i="72"/>
  <c r="B75" i="81"/>
  <c r="B21" i="72"/>
  <c r="B76" i="81"/>
  <c r="B22" i="72"/>
  <c r="B78" i="81"/>
  <c r="B24" i="72"/>
  <c r="B79" i="81"/>
  <c r="B25" i="72"/>
  <c r="B80" i="81"/>
  <c r="B26" i="72"/>
  <c r="B81" i="81"/>
  <c r="B27" i="72"/>
  <c r="B82" i="81"/>
  <c r="B28" i="72"/>
  <c r="B83" i="81"/>
  <c r="B29" i="72"/>
  <c r="B84" i="81"/>
  <c r="B30" i="72"/>
  <c r="B32" i="72"/>
  <c r="B35" i="72"/>
  <c r="D146" i="72"/>
  <c r="D148" i="72"/>
  <c r="E37" i="61"/>
  <c r="E41" i="61"/>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E15" i="61"/>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4" i="55"/>
  <c r="D152" i="72"/>
  <c r="D153" i="72"/>
  <c r="D154" i="72"/>
  <c r="D155" i="72"/>
  <c r="D156" i="72"/>
  <c r="B12" i="72"/>
  <c r="D157" i="72"/>
  <c r="D159" i="72"/>
  <c r="D160" i="72"/>
  <c r="D253" i="53"/>
  <c r="D254" i="53"/>
  <c r="D260" i="53"/>
  <c r="D262" i="53"/>
  <c r="E47" i="61"/>
  <c r="D285" i="55"/>
  <c r="D161" i="72"/>
  <c r="G64" i="57"/>
  <c r="B7" i="83"/>
  <c r="B9" i="83"/>
  <c r="C23" i="8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D15" i="83"/>
  <c r="B103" i="83"/>
  <c r="C34" i="53"/>
  <c r="C87" i="53"/>
  <c r="D17" i="83"/>
  <c r="B105" i="83"/>
  <c r="C36" i="53"/>
  <c r="C89" i="53"/>
  <c r="D18" i="83"/>
  <c r="B106" i="83"/>
  <c r="C37" i="53"/>
  <c r="C90" i="53"/>
  <c r="D19" i="83"/>
  <c r="B107" i="83"/>
  <c r="C38" i="53"/>
  <c r="C91" i="53"/>
  <c r="D24" i="83"/>
  <c r="B111" i="83"/>
  <c r="C42" i="53"/>
  <c r="C95" i="53"/>
  <c r="D25" i="83"/>
  <c r="B112" i="83"/>
  <c r="C43" i="53"/>
  <c r="C96" i="53"/>
  <c r="D26" i="83"/>
  <c r="B113" i="83"/>
  <c r="C44" i="53"/>
  <c r="C97" i="53"/>
  <c r="B113" i="81"/>
  <c r="C30" i="53"/>
  <c r="C83" i="53"/>
  <c r="C31" i="53"/>
  <c r="C84" i="53"/>
  <c r="D14" i="83"/>
  <c r="B102" i="83"/>
  <c r="C33" i="53"/>
  <c r="C86" i="53"/>
  <c r="D16" i="83"/>
  <c r="B104" i="83"/>
  <c r="C35" i="53"/>
  <c r="C88" i="53"/>
  <c r="D20" i="83"/>
  <c r="B108" i="83"/>
  <c r="C39" i="53"/>
  <c r="C92" i="53"/>
  <c r="D21" i="83"/>
  <c r="B109" i="83"/>
  <c r="C40" i="53"/>
  <c r="C93" i="53"/>
  <c r="D22" i="83"/>
  <c r="B110" i="83"/>
  <c r="C41" i="53"/>
  <c r="C94" i="53"/>
  <c r="C182" i="53"/>
  <c r="D166" i="53"/>
  <c r="D167" i="53"/>
  <c r="D168" i="53"/>
  <c r="D169" i="53"/>
  <c r="D170" i="53"/>
  <c r="D171" i="53"/>
  <c r="D172" i="53"/>
  <c r="D173" i="53"/>
  <c r="D174" i="53"/>
  <c r="D175" i="53"/>
  <c r="D176" i="53"/>
  <c r="D177" i="53"/>
  <c r="D178" i="53"/>
  <c r="D155" i="53"/>
  <c r="D157" i="53"/>
  <c r="D158" i="53"/>
  <c r="D159" i="53"/>
  <c r="D163" i="53"/>
  <c r="D164" i="53"/>
  <c r="D165" i="53"/>
  <c r="D151" i="53"/>
  <c r="D152" i="53"/>
  <c r="D154" i="53"/>
  <c r="D156" i="53"/>
  <c r="D160" i="53"/>
  <c r="D161" i="53"/>
  <c r="D162" i="53"/>
  <c r="B63" i="55"/>
  <c r="B32"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F15" i="83"/>
  <c r="H15" i="83"/>
  <c r="B47" i="83"/>
  <c r="B36" i="55"/>
  <c r="B93" i="55"/>
  <c r="B145" i="55"/>
  <c r="D204" i="55"/>
  <c r="F17" i="83"/>
  <c r="H17" i="83"/>
  <c r="B49" i="83"/>
  <c r="B38" i="55"/>
  <c r="B95" i="55"/>
  <c r="B147" i="55"/>
  <c r="D206" i="55"/>
  <c r="F18" i="83"/>
  <c r="H18" i="83"/>
  <c r="B50" i="83"/>
  <c r="B39" i="55"/>
  <c r="B96" i="55"/>
  <c r="B148" i="55"/>
  <c r="D207" i="55"/>
  <c r="F19" i="83"/>
  <c r="H19" i="83"/>
  <c r="B51" i="83"/>
  <c r="B40" i="55"/>
  <c r="B97" i="55"/>
  <c r="B149" i="55"/>
  <c r="D208" i="55"/>
  <c r="F24" i="83"/>
  <c r="H24" i="83"/>
  <c r="B55" i="83"/>
  <c r="B44" i="55"/>
  <c r="B101" i="55"/>
  <c r="B153" i="55"/>
  <c r="D212" i="55"/>
  <c r="F25" i="83"/>
  <c r="H25" i="83"/>
  <c r="B56" i="83"/>
  <c r="B45" i="55"/>
  <c r="B102" i="55"/>
  <c r="B154" i="55"/>
  <c r="D213" i="55"/>
  <c r="F26" i="83"/>
  <c r="H26" i="83"/>
  <c r="B57" i="83"/>
  <c r="B46" i="55"/>
  <c r="B103" i="55"/>
  <c r="B155" i="55"/>
  <c r="D214" i="55"/>
  <c r="B89" i="55"/>
  <c r="B141" i="55"/>
  <c r="D199" i="55"/>
  <c r="F14" i="83"/>
  <c r="H14" i="83"/>
  <c r="B46" i="83"/>
  <c r="B35" i="55"/>
  <c r="B92" i="55"/>
  <c r="B144" i="55"/>
  <c r="D203" i="55"/>
  <c r="F16" i="83"/>
  <c r="H16" i="83"/>
  <c r="B48" i="83"/>
  <c r="B37" i="55"/>
  <c r="B94" i="55"/>
  <c r="B146" i="55"/>
  <c r="D205" i="55"/>
  <c r="F20" i="83"/>
  <c r="H20" i="83"/>
  <c r="B52" i="83"/>
  <c r="B41" i="55"/>
  <c r="B98" i="55"/>
  <c r="B150" i="55"/>
  <c r="D209" i="55"/>
  <c r="F21" i="83"/>
  <c r="H21" i="83"/>
  <c r="B53" i="83"/>
  <c r="B42" i="55"/>
  <c r="B99" i="55"/>
  <c r="B151" i="55"/>
  <c r="D210" i="55"/>
  <c r="F22" i="83"/>
  <c r="H22" i="83"/>
  <c r="B54" i="83"/>
  <c r="B43" i="55"/>
  <c r="B100" i="55"/>
  <c r="B152" i="55"/>
  <c r="D211" i="55"/>
  <c r="B162" i="55"/>
  <c r="D221" i="55"/>
  <c r="B163" i="55"/>
  <c r="D222" i="55"/>
  <c r="B164" i="55"/>
  <c r="D223" i="55"/>
  <c r="B95" i="83"/>
  <c r="B34" i="84"/>
  <c r="B41" i="84"/>
  <c r="B62" i="84"/>
  <c r="B124" i="84"/>
  <c r="B141" i="84"/>
  <c r="D154" i="84"/>
  <c r="B125" i="84"/>
  <c r="B142" i="84"/>
  <c r="D155" i="84"/>
  <c r="B126" i="84"/>
  <c r="B143" i="84"/>
  <c r="D156" i="84"/>
  <c r="D159" i="84"/>
  <c r="E39" i="61"/>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5" i="61"/>
  <c r="B10" i="42"/>
  <c r="D21" i="42"/>
  <c r="D23" i="42"/>
  <c r="E38" i="61"/>
  <c r="D233" i="53"/>
  <c r="D234" i="53"/>
  <c r="D235" i="53"/>
  <c r="D236" i="53"/>
  <c r="D237" i="53"/>
  <c r="D238" i="53"/>
  <c r="D239" i="53"/>
  <c r="D240" i="53"/>
  <c r="D241" i="53"/>
  <c r="D242" i="53"/>
  <c r="D222" i="53"/>
  <c r="D224" i="53"/>
  <c r="D225" i="53"/>
  <c r="D226" i="53"/>
  <c r="D230" i="53"/>
  <c r="D231" i="53"/>
  <c r="D232" i="53"/>
  <c r="D205" i="53"/>
  <c r="D214" i="53"/>
  <c r="D218" i="53"/>
  <c r="D219" i="53"/>
  <c r="D221" i="53"/>
  <c r="D223" i="53"/>
  <c r="D227" i="53"/>
  <c r="D228" i="53"/>
  <c r="D229" i="53"/>
  <c r="D243" i="53"/>
  <c r="B5" i="55"/>
  <c r="H82" i="57"/>
  <c r="B283" i="55" s="1"/>
  <c r="D283" i="55" s="1"/>
  <c r="E16" i="61" s="1"/>
  <c r="D269" i="55"/>
  <c r="D270" i="55"/>
  <c r="D271" i="55"/>
  <c r="D272" i="55"/>
  <c r="D273" i="55"/>
  <c r="D274" i="55"/>
  <c r="D275" i="55"/>
  <c r="D276" i="55"/>
  <c r="D277" i="55"/>
  <c r="D278" i="55"/>
  <c r="D258" i="55"/>
  <c r="D260" i="55"/>
  <c r="D261" i="55"/>
  <c r="D262" i="55"/>
  <c r="D266" i="55"/>
  <c r="D267" i="55"/>
  <c r="D268" i="55"/>
  <c r="D254" i="55"/>
  <c r="D255" i="55"/>
  <c r="D257" i="55"/>
  <c r="D259" i="55"/>
  <c r="D263" i="55"/>
  <c r="D264" i="55"/>
  <c r="D265" i="55"/>
  <c r="D279" i="55"/>
  <c r="D280" i="55"/>
  <c r="H74" i="57"/>
  <c r="B158" i="72" s="1"/>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75" i="83"/>
  <c r="B14" i="84"/>
  <c r="B77" i="83"/>
  <c r="B16" i="84"/>
  <c r="B78" i="83"/>
  <c r="B17" i="84"/>
  <c r="B79" i="83"/>
  <c r="B18" i="84"/>
  <c r="B83" i="83"/>
  <c r="B22" i="84"/>
  <c r="B84" i="83"/>
  <c r="B23" i="84"/>
  <c r="B85" i="83"/>
  <c r="B24" i="84"/>
  <c r="B74" i="83"/>
  <c r="B13" i="84"/>
  <c r="B76" i="83"/>
  <c r="B15" i="84"/>
  <c r="B80" i="83"/>
  <c r="B19" i="84"/>
  <c r="B81" i="83"/>
  <c r="B20" i="84"/>
  <c r="B82" i="83"/>
  <c r="B21" i="84"/>
  <c r="B39" i="84"/>
  <c r="B12" i="84"/>
  <c r="D165" i="84"/>
  <c r="H88" i="57"/>
  <c r="B166" i="84" s="1"/>
  <c r="D163" i="84"/>
  <c r="D164" i="84"/>
  <c r="D167" i="84"/>
  <c r="D168" i="84"/>
  <c r="D169" i="84"/>
  <c r="J8" i="48"/>
  <c r="J9" i="48"/>
  <c r="J10" i="48"/>
  <c r="J11" i="48"/>
  <c r="J12" i="48"/>
  <c r="J13" i="48"/>
  <c r="J14" i="48"/>
  <c r="J15" i="48"/>
  <c r="J16" i="48"/>
  <c r="J17" i="48"/>
  <c r="C43" i="48"/>
  <c r="E43" i="48"/>
  <c r="M8" i="48"/>
  <c r="M9" i="48"/>
  <c r="M10" i="48"/>
  <c r="M11" i="48"/>
  <c r="M12" i="48"/>
  <c r="M13" i="48"/>
  <c r="M14" i="48"/>
  <c r="M15" i="48"/>
  <c r="M16" i="48"/>
  <c r="M17" i="48"/>
  <c r="C44" i="48"/>
  <c r="E44" i="48"/>
  <c r="E49" i="48"/>
  <c r="E48" i="61"/>
  <c r="D27" i="42"/>
  <c r="D28" i="42"/>
  <c r="C29" i="42"/>
  <c r="D29" i="42"/>
  <c r="D34" i="42"/>
  <c r="E51" i="61"/>
  <c r="G8" i="57"/>
  <c r="G9" i="57"/>
  <c r="G10" i="57"/>
  <c r="G11" i="57"/>
  <c r="G76" i="57"/>
  <c r="G77" i="57"/>
  <c r="G78" i="57"/>
  <c r="G79" i="57"/>
  <c r="G80" i="57"/>
  <c r="G81" i="57"/>
  <c r="G65" i="57"/>
  <c r="G66" i="57"/>
  <c r="G67" i="57"/>
  <c r="G68" i="57"/>
  <c r="G69" i="57"/>
  <c r="G70" i="57"/>
  <c r="G71" i="57"/>
  <c r="G72" i="57"/>
  <c r="G73" i="57"/>
  <c r="G21" i="57"/>
  <c r="G22" i="57"/>
  <c r="G23" i="57"/>
  <c r="G24" i="57"/>
  <c r="G25" i="57"/>
  <c r="G26" i="57"/>
  <c r="G27" i="57"/>
  <c r="G28" i="57"/>
  <c r="G29" i="57"/>
  <c r="G30" i="57"/>
  <c r="G31" i="57"/>
  <c r="G84" i="57"/>
  <c r="G85" i="57"/>
  <c r="G86" i="57"/>
  <c r="G87" i="57"/>
  <c r="F99" i="57"/>
  <c r="F100" i="57"/>
  <c r="F101" i="57"/>
  <c r="F102" i="57"/>
  <c r="F103" i="57"/>
  <c r="F104" i="57"/>
  <c r="F113" i="57"/>
  <c r="F114" i="57"/>
  <c r="F115" i="57"/>
  <c r="F116" i="57"/>
  <c r="F117" i="57"/>
  <c r="F118" i="57"/>
  <c r="F127" i="57"/>
  <c r="F128" i="57"/>
  <c r="F130" i="57" s="1"/>
  <c r="D9" i="62" s="1"/>
  <c r="C55" i="22" s="1"/>
  <c r="F129" i="57"/>
  <c r="D142" i="57"/>
  <c r="D10" i="62" s="1"/>
  <c r="F4" i="22"/>
  <c r="G4" i="22"/>
  <c r="H4" i="22"/>
  <c r="I4" i="22"/>
  <c r="J4" i="22"/>
  <c r="K4" i="22"/>
  <c r="K22" i="22"/>
  <c r="J22" i="22"/>
  <c r="I22" i="22"/>
  <c r="H22" i="22"/>
  <c r="G22" i="22"/>
  <c r="F22" i="22"/>
  <c r="E22" i="22"/>
  <c r="K21" i="22"/>
  <c r="J21" i="22"/>
  <c r="I21" i="22"/>
  <c r="H21" i="22"/>
  <c r="G21" i="22"/>
  <c r="F21" i="22"/>
  <c r="E21" i="22"/>
  <c r="K20" i="22"/>
  <c r="J20" i="22"/>
  <c r="I20" i="22"/>
  <c r="H20" i="22"/>
  <c r="G20" i="22"/>
  <c r="F20" i="22"/>
  <c r="E20" i="22"/>
  <c r="K19" i="22"/>
  <c r="J19" i="22"/>
  <c r="I19" i="22"/>
  <c r="H19" i="22"/>
  <c r="G19" i="22"/>
  <c r="F19" i="22"/>
  <c r="E19" i="22"/>
  <c r="K18" i="22"/>
  <c r="J18" i="22"/>
  <c r="I18" i="22"/>
  <c r="H18" i="22"/>
  <c r="G18" i="22"/>
  <c r="F18" i="22"/>
  <c r="E18" i="22"/>
  <c r="K17" i="22"/>
  <c r="J17" i="22"/>
  <c r="I17" i="22"/>
  <c r="H17" i="22"/>
  <c r="G17" i="22"/>
  <c r="F17" i="22"/>
  <c r="E17" i="22"/>
  <c r="K16" i="22"/>
  <c r="J16" i="22"/>
  <c r="I16" i="22"/>
  <c r="H16" i="22"/>
  <c r="G16" i="22"/>
  <c r="F16" i="22"/>
  <c r="E16" i="22"/>
  <c r="B9" i="68"/>
  <c r="B66" i="83"/>
  <c r="B65" i="83"/>
  <c r="B64" i="83"/>
  <c r="B22" i="21"/>
  <c r="B20" i="21"/>
  <c r="B21" i="21"/>
  <c r="E8" i="22"/>
  <c r="E9" i="22"/>
  <c r="E10" i="22"/>
  <c r="E11" i="22"/>
  <c r="E12" i="22"/>
  <c r="E13" i="22"/>
  <c r="E14" i="22"/>
  <c r="E15" i="22"/>
  <c r="E23" i="22"/>
  <c r="B35" i="21"/>
  <c r="D294" i="55"/>
  <c r="D301" i="55"/>
  <c r="B28" i="21"/>
  <c r="D177" i="72"/>
  <c r="B29" i="21"/>
  <c r="D37" i="42"/>
  <c r="D43" i="42"/>
  <c r="B30" i="21"/>
  <c r="E52" i="48"/>
  <c r="E56" i="48"/>
  <c r="B31" i="21"/>
  <c r="D180" i="84"/>
  <c r="D181" i="84"/>
  <c r="D185" i="84"/>
  <c r="B33" i="21"/>
  <c r="D265" i="53"/>
  <c r="D266" i="53"/>
  <c r="D267" i="53"/>
  <c r="D268" i="53"/>
  <c r="D273" i="53"/>
  <c r="B32" i="21"/>
  <c r="B36" i="21"/>
  <c r="B8" i="21"/>
  <c r="B9" i="21"/>
  <c r="B12" i="21"/>
  <c r="B13" i="21"/>
  <c r="B10" i="21"/>
  <c r="B11" i="21"/>
  <c r="B15" i="21"/>
  <c r="C10" i="62"/>
  <c r="C9" i="62"/>
  <c r="C8" i="62"/>
  <c r="C7" i="62"/>
  <c r="C6" i="62"/>
  <c r="C5" i="62"/>
  <c r="C40" i="81"/>
  <c r="C42" i="81"/>
  <c r="D40" i="81"/>
  <c r="D42" i="81"/>
  <c r="E40" i="81"/>
  <c r="E42" i="81"/>
  <c r="F40" i="81"/>
  <c r="F42" i="81"/>
  <c r="G40" i="81"/>
  <c r="G42" i="81"/>
  <c r="H40" i="81"/>
  <c r="H42" i="81"/>
  <c r="H11" i="55"/>
  <c r="H63" i="55"/>
  <c r="H68" i="55"/>
  <c r="E172" i="55"/>
  <c r="F172" i="55"/>
  <c r="G172" i="55"/>
  <c r="H172" i="55"/>
  <c r="I172" i="55"/>
  <c r="J172" i="55"/>
  <c r="J233" i="55"/>
  <c r="C43" i="81"/>
  <c r="D43" i="81"/>
  <c r="E43" i="81"/>
  <c r="F43" i="81"/>
  <c r="G43" i="81"/>
  <c r="H43" i="81"/>
  <c r="H12" i="55"/>
  <c r="H69" i="55"/>
  <c r="J234" i="55"/>
  <c r="C44" i="81"/>
  <c r="D44" i="81"/>
  <c r="E44" i="81"/>
  <c r="F44" i="81"/>
  <c r="G44" i="81"/>
  <c r="H44" i="81"/>
  <c r="H13" i="55"/>
  <c r="H70" i="55"/>
  <c r="J235" i="55"/>
  <c r="C45" i="81"/>
  <c r="D45" i="81"/>
  <c r="E45" i="81"/>
  <c r="F45" i="81"/>
  <c r="G45" i="81"/>
  <c r="H45" i="81"/>
  <c r="H14" i="55"/>
  <c r="H71" i="55"/>
  <c r="J236" i="55"/>
  <c r="C46" i="81"/>
  <c r="D46" i="81"/>
  <c r="E46" i="81"/>
  <c r="F46" i="81"/>
  <c r="G46" i="81"/>
  <c r="H46" i="81"/>
  <c r="H15" i="55"/>
  <c r="H72" i="55"/>
  <c r="J237" i="55"/>
  <c r="C47" i="81"/>
  <c r="D47" i="81"/>
  <c r="E47" i="81"/>
  <c r="F47" i="81"/>
  <c r="G47" i="81"/>
  <c r="H47" i="81"/>
  <c r="H16" i="55"/>
  <c r="H73" i="55"/>
  <c r="J238" i="55"/>
  <c r="C48" i="81"/>
  <c r="D48" i="81"/>
  <c r="E48" i="81"/>
  <c r="F48" i="81"/>
  <c r="G48" i="81"/>
  <c r="H48" i="81"/>
  <c r="H17" i="55"/>
  <c r="H74" i="55"/>
  <c r="J239" i="55"/>
  <c r="C49" i="81"/>
  <c r="D49" i="81"/>
  <c r="E49" i="81"/>
  <c r="F49" i="81"/>
  <c r="G49" i="81"/>
  <c r="H49" i="81"/>
  <c r="H18" i="55"/>
  <c r="H75" i="55"/>
  <c r="J240" i="55"/>
  <c r="C50" i="81"/>
  <c r="D50" i="81"/>
  <c r="E50" i="81"/>
  <c r="F50" i="81"/>
  <c r="G50" i="81"/>
  <c r="H50" i="81"/>
  <c r="H19" i="55"/>
  <c r="H76" i="55"/>
  <c r="J241" i="55"/>
  <c r="C51" i="81"/>
  <c r="D51" i="81"/>
  <c r="E51" i="81"/>
  <c r="F51" i="81"/>
  <c r="G51" i="81"/>
  <c r="H51" i="81"/>
  <c r="H20" i="55"/>
  <c r="H77" i="55"/>
  <c r="J242" i="55"/>
  <c r="C52" i="81"/>
  <c r="D52" i="81"/>
  <c r="E52" i="81"/>
  <c r="F52" i="81"/>
  <c r="G52" i="81"/>
  <c r="H52" i="81"/>
  <c r="H21" i="55"/>
  <c r="H78" i="55"/>
  <c r="J243" i="55"/>
  <c r="C53" i="81"/>
  <c r="D53" i="81"/>
  <c r="E53" i="81"/>
  <c r="F53" i="81"/>
  <c r="G53" i="81"/>
  <c r="H53" i="81"/>
  <c r="H22" i="55"/>
  <c r="H79" i="55"/>
  <c r="J244" i="55"/>
  <c r="C54" i="81"/>
  <c r="D54" i="81"/>
  <c r="E54" i="81"/>
  <c r="F54" i="81"/>
  <c r="G54" i="81"/>
  <c r="H54" i="81"/>
  <c r="H23" i="55"/>
  <c r="H80" i="55"/>
  <c r="J245" i="55"/>
  <c r="C55" i="81"/>
  <c r="D55" i="81"/>
  <c r="E55" i="81"/>
  <c r="F55" i="81"/>
  <c r="G55" i="81"/>
  <c r="H55" i="81"/>
  <c r="H24" i="55"/>
  <c r="H81" i="55"/>
  <c r="J246" i="55"/>
  <c r="C56" i="81"/>
  <c r="D56" i="81"/>
  <c r="E56" i="81"/>
  <c r="F56" i="81"/>
  <c r="G56" i="81"/>
  <c r="H56" i="81"/>
  <c r="H25" i="55"/>
  <c r="H82" i="55"/>
  <c r="J247" i="55"/>
  <c r="C57" i="81"/>
  <c r="D57" i="81"/>
  <c r="E57" i="81"/>
  <c r="F57" i="81"/>
  <c r="G57" i="81"/>
  <c r="H57" i="81"/>
  <c r="H26" i="55"/>
  <c r="H83" i="55"/>
  <c r="J248" i="55"/>
  <c r="C58" i="81"/>
  <c r="D58" i="81"/>
  <c r="E58" i="81"/>
  <c r="F58" i="81"/>
  <c r="G58" i="81"/>
  <c r="H58" i="81"/>
  <c r="H27" i="55"/>
  <c r="H84" i="55"/>
  <c r="J249" i="55"/>
  <c r="C59" i="81"/>
  <c r="D59" i="81"/>
  <c r="E59" i="81"/>
  <c r="F59" i="81"/>
  <c r="G59" i="81"/>
  <c r="H59" i="81"/>
  <c r="H28" i="55"/>
  <c r="H85" i="55"/>
  <c r="J250" i="55"/>
  <c r="C60" i="81"/>
  <c r="D60" i="81"/>
  <c r="E60" i="81"/>
  <c r="F60" i="81"/>
  <c r="G60" i="81"/>
  <c r="H60" i="81"/>
  <c r="H29" i="55"/>
  <c r="H86" i="55"/>
  <c r="J251" i="55"/>
  <c r="C61" i="81"/>
  <c r="D61" i="81"/>
  <c r="E61" i="81"/>
  <c r="F61" i="81"/>
  <c r="G61" i="81"/>
  <c r="H61" i="81"/>
  <c r="H30" i="55"/>
  <c r="H87" i="55"/>
  <c r="J252" i="55"/>
  <c r="C62" i="81"/>
  <c r="D62" i="81"/>
  <c r="E62" i="81"/>
  <c r="F62" i="81"/>
  <c r="G62" i="81"/>
  <c r="H62" i="81"/>
  <c r="H31" i="55"/>
  <c r="H88" i="55"/>
  <c r="J253" i="55"/>
  <c r="H32" i="55"/>
  <c r="H89" i="55"/>
  <c r="J254" i="55"/>
  <c r="J255" i="55"/>
  <c r="C44" i="83"/>
  <c r="C46" i="83"/>
  <c r="D44" i="83"/>
  <c r="D46" i="83"/>
  <c r="E44" i="83"/>
  <c r="E46" i="83"/>
  <c r="F44" i="83"/>
  <c r="F46" i="83"/>
  <c r="G44" i="83"/>
  <c r="G46" i="83"/>
  <c r="H44" i="83"/>
  <c r="H46" i="83"/>
  <c r="H35" i="55"/>
  <c r="H92" i="55"/>
  <c r="J257" i="55"/>
  <c r="C47" i="83"/>
  <c r="D47" i="83"/>
  <c r="E47" i="83"/>
  <c r="F47" i="83"/>
  <c r="G47" i="83"/>
  <c r="H47" i="83"/>
  <c r="H36" i="55"/>
  <c r="H93" i="55"/>
  <c r="J258" i="55"/>
  <c r="C48" i="83"/>
  <c r="D48" i="83"/>
  <c r="E48" i="83"/>
  <c r="F48" i="83"/>
  <c r="G48" i="83"/>
  <c r="H48" i="83"/>
  <c r="H37" i="55"/>
  <c r="H94" i="55"/>
  <c r="J259" i="55"/>
  <c r="C49" i="83"/>
  <c r="D49" i="83"/>
  <c r="E49" i="83"/>
  <c r="F49" i="83"/>
  <c r="G49" i="83"/>
  <c r="H49" i="83"/>
  <c r="H38" i="55"/>
  <c r="H95" i="55"/>
  <c r="J260" i="55"/>
  <c r="C50" i="83"/>
  <c r="D50" i="83"/>
  <c r="E50" i="83"/>
  <c r="F50" i="83"/>
  <c r="G50" i="83"/>
  <c r="H50" i="83"/>
  <c r="H39" i="55"/>
  <c r="H96" i="55"/>
  <c r="J261" i="55"/>
  <c r="C51" i="83"/>
  <c r="D51" i="83"/>
  <c r="E51" i="83"/>
  <c r="F51" i="83"/>
  <c r="G51" i="83"/>
  <c r="H51" i="83"/>
  <c r="H40" i="55"/>
  <c r="H97" i="55"/>
  <c r="J262" i="55"/>
  <c r="C52" i="83"/>
  <c r="D52" i="83"/>
  <c r="E52" i="83"/>
  <c r="F52" i="83"/>
  <c r="G52" i="83"/>
  <c r="H52" i="83"/>
  <c r="H41" i="55"/>
  <c r="H98" i="55"/>
  <c r="J263" i="55"/>
  <c r="C53" i="83"/>
  <c r="D53" i="83"/>
  <c r="E53" i="83"/>
  <c r="F53" i="83"/>
  <c r="G53" i="83"/>
  <c r="H53" i="83"/>
  <c r="H42" i="55"/>
  <c r="H99" i="55"/>
  <c r="J264" i="55"/>
  <c r="C54" i="83"/>
  <c r="D54" i="83"/>
  <c r="E54" i="83"/>
  <c r="F54" i="83"/>
  <c r="G54" i="83"/>
  <c r="H54" i="83"/>
  <c r="H43" i="55"/>
  <c r="H100" i="55"/>
  <c r="J265" i="55"/>
  <c r="C55" i="83"/>
  <c r="D55" i="83"/>
  <c r="E55" i="83"/>
  <c r="F55" i="83"/>
  <c r="G55" i="83"/>
  <c r="H55" i="83"/>
  <c r="H44" i="55"/>
  <c r="H101" i="55"/>
  <c r="J266" i="55"/>
  <c r="C56" i="83"/>
  <c r="D56" i="83"/>
  <c r="E56" i="83"/>
  <c r="F56" i="83"/>
  <c r="G56" i="83"/>
  <c r="H56" i="83"/>
  <c r="H45" i="55"/>
  <c r="H102" i="55"/>
  <c r="J267" i="55"/>
  <c r="C57" i="83"/>
  <c r="D57" i="83"/>
  <c r="E57" i="83"/>
  <c r="F57" i="83"/>
  <c r="G57" i="83"/>
  <c r="H57" i="83"/>
  <c r="H46" i="55"/>
  <c r="H103" i="55"/>
  <c r="J268" i="55"/>
  <c r="C58" i="83"/>
  <c r="D58" i="83"/>
  <c r="E58" i="83"/>
  <c r="F58" i="83"/>
  <c r="G58" i="83"/>
  <c r="H58" i="83"/>
  <c r="H47" i="55"/>
  <c r="H104" i="55"/>
  <c r="J269" i="55"/>
  <c r="C59" i="83"/>
  <c r="D59" i="83"/>
  <c r="E59" i="83"/>
  <c r="F59" i="83"/>
  <c r="G59" i="83"/>
  <c r="H59" i="83"/>
  <c r="H48" i="55"/>
  <c r="H105" i="55"/>
  <c r="J270" i="55"/>
  <c r="C60" i="83"/>
  <c r="D60" i="83"/>
  <c r="E60" i="83"/>
  <c r="F60" i="83"/>
  <c r="G60" i="83"/>
  <c r="H60" i="83"/>
  <c r="H49" i="55"/>
  <c r="H106" i="55"/>
  <c r="J271" i="55"/>
  <c r="C61" i="83"/>
  <c r="D61" i="83"/>
  <c r="E61" i="83"/>
  <c r="F61" i="83"/>
  <c r="G61" i="83"/>
  <c r="H61" i="83"/>
  <c r="H50" i="55"/>
  <c r="H107" i="55"/>
  <c r="J272" i="55"/>
  <c r="C62" i="83"/>
  <c r="D62" i="83"/>
  <c r="E62" i="83"/>
  <c r="F62" i="83"/>
  <c r="G62" i="83"/>
  <c r="H62" i="83"/>
  <c r="H51" i="55"/>
  <c r="H108" i="55"/>
  <c r="J273" i="55"/>
  <c r="C63" i="83"/>
  <c r="D63" i="83"/>
  <c r="E63" i="83"/>
  <c r="F63" i="83"/>
  <c r="G63" i="83"/>
  <c r="H63" i="83"/>
  <c r="H52" i="55"/>
  <c r="H109" i="55"/>
  <c r="J274" i="55"/>
  <c r="C67" i="83"/>
  <c r="D67" i="83"/>
  <c r="E67" i="83"/>
  <c r="F67" i="83"/>
  <c r="G67" i="83"/>
  <c r="H67" i="83"/>
  <c r="H56" i="55"/>
  <c r="H113" i="55"/>
  <c r="J275" i="55"/>
  <c r="C68" i="83"/>
  <c r="D68" i="83"/>
  <c r="E68" i="83"/>
  <c r="F68" i="83"/>
  <c r="G68" i="83"/>
  <c r="H68" i="83"/>
  <c r="H57" i="55"/>
  <c r="H114" i="55"/>
  <c r="J276" i="55"/>
  <c r="C69" i="83"/>
  <c r="D69" i="83"/>
  <c r="E69" i="83"/>
  <c r="F69" i="83"/>
  <c r="G69" i="83"/>
  <c r="H69" i="83"/>
  <c r="H58" i="55"/>
  <c r="H115" i="55"/>
  <c r="J277" i="55"/>
  <c r="C70" i="83"/>
  <c r="D70" i="83"/>
  <c r="E70" i="83"/>
  <c r="F70" i="83"/>
  <c r="G70" i="83"/>
  <c r="H70" i="83"/>
  <c r="H59" i="55"/>
  <c r="H116" i="55"/>
  <c r="J278" i="55"/>
  <c r="J279" i="55"/>
  <c r="J280" i="55"/>
  <c r="H33" i="55"/>
  <c r="H10" i="55"/>
  <c r="J282" i="55"/>
  <c r="H120" i="55"/>
  <c r="H121" i="55"/>
  <c r="H122" i="55"/>
  <c r="H123" i="55"/>
  <c r="H124" i="55"/>
  <c r="H125" i="55"/>
  <c r="H126" i="55"/>
  <c r="H127" i="55"/>
  <c r="H128" i="55"/>
  <c r="H129" i="55"/>
  <c r="H130" i="55"/>
  <c r="H131" i="55"/>
  <c r="H132" i="55"/>
  <c r="H133" i="55"/>
  <c r="H134" i="55"/>
  <c r="H135" i="55"/>
  <c r="H136" i="55"/>
  <c r="H137" i="55"/>
  <c r="H138" i="55"/>
  <c r="H139" i="55"/>
  <c r="H140" i="55"/>
  <c r="H141" i="55"/>
  <c r="J284" i="55"/>
  <c r="G11" i="55"/>
  <c r="G63" i="55"/>
  <c r="G68" i="55"/>
  <c r="I233" i="55"/>
  <c r="G12" i="55"/>
  <c r="G69" i="55"/>
  <c r="I234" i="55"/>
  <c r="G13" i="55"/>
  <c r="G70" i="55"/>
  <c r="I235" i="55"/>
  <c r="G14" i="55"/>
  <c r="G71" i="55"/>
  <c r="I236" i="55"/>
  <c r="G15" i="55"/>
  <c r="G72" i="55"/>
  <c r="I237" i="55"/>
  <c r="G16" i="55"/>
  <c r="G73" i="55"/>
  <c r="I238" i="55"/>
  <c r="G17" i="55"/>
  <c r="G74" i="55"/>
  <c r="I239" i="55"/>
  <c r="G18" i="55"/>
  <c r="G75" i="55"/>
  <c r="I240" i="55"/>
  <c r="G19" i="55"/>
  <c r="G76" i="55"/>
  <c r="I241" i="55"/>
  <c r="G20" i="55"/>
  <c r="G77" i="55"/>
  <c r="I242" i="55"/>
  <c r="G21" i="55"/>
  <c r="G78" i="55"/>
  <c r="I243" i="55"/>
  <c r="G22" i="55"/>
  <c r="G79" i="55"/>
  <c r="I244" i="55"/>
  <c r="G23" i="55"/>
  <c r="G80" i="55"/>
  <c r="I245" i="55"/>
  <c r="G24" i="55"/>
  <c r="G81" i="55"/>
  <c r="I246" i="55"/>
  <c r="G25" i="55"/>
  <c r="G82" i="55"/>
  <c r="I247" i="55"/>
  <c r="G26" i="55"/>
  <c r="G83" i="55"/>
  <c r="I248" i="55"/>
  <c r="G27" i="55"/>
  <c r="G84" i="55"/>
  <c r="I249" i="55"/>
  <c r="G28" i="55"/>
  <c r="G85" i="55"/>
  <c r="I250" i="55"/>
  <c r="G29" i="55"/>
  <c r="G86" i="55"/>
  <c r="I251" i="55"/>
  <c r="G30" i="55"/>
  <c r="G87" i="55"/>
  <c r="I252" i="55"/>
  <c r="G31" i="55"/>
  <c r="G88" i="55"/>
  <c r="I253" i="55"/>
  <c r="G32" i="55"/>
  <c r="G89" i="55"/>
  <c r="I254" i="55"/>
  <c r="I255" i="55"/>
  <c r="G35" i="55"/>
  <c r="G92" i="55"/>
  <c r="I257" i="55"/>
  <c r="G36" i="55"/>
  <c r="G93" i="55"/>
  <c r="I258" i="55"/>
  <c r="G37" i="55"/>
  <c r="G94" i="55"/>
  <c r="I259" i="55"/>
  <c r="G38" i="55"/>
  <c r="G95" i="55"/>
  <c r="I260" i="55"/>
  <c r="G39" i="55"/>
  <c r="G96" i="55"/>
  <c r="I261" i="55"/>
  <c r="G40" i="55"/>
  <c r="G97" i="55"/>
  <c r="I262" i="55"/>
  <c r="G41" i="55"/>
  <c r="G98" i="55"/>
  <c r="I263" i="55"/>
  <c r="G42" i="55"/>
  <c r="G99" i="55"/>
  <c r="I264" i="55"/>
  <c r="G43" i="55"/>
  <c r="G100" i="55"/>
  <c r="I265" i="55"/>
  <c r="G44" i="55"/>
  <c r="G101" i="55"/>
  <c r="I266" i="55"/>
  <c r="G45" i="55"/>
  <c r="G102" i="55"/>
  <c r="I267" i="55"/>
  <c r="G46" i="55"/>
  <c r="G103" i="55"/>
  <c r="I268" i="55"/>
  <c r="G47" i="55"/>
  <c r="G104" i="55"/>
  <c r="I269" i="55"/>
  <c r="G48" i="55"/>
  <c r="G105" i="55"/>
  <c r="I270" i="55"/>
  <c r="G49" i="55"/>
  <c r="G106" i="55"/>
  <c r="I271" i="55"/>
  <c r="G50" i="55"/>
  <c r="G107" i="55"/>
  <c r="I272" i="55"/>
  <c r="G51" i="55"/>
  <c r="G108" i="55"/>
  <c r="I273" i="55"/>
  <c r="G52" i="55"/>
  <c r="G109" i="55"/>
  <c r="I274" i="55"/>
  <c r="G56" i="55"/>
  <c r="G113" i="55"/>
  <c r="I275" i="55"/>
  <c r="G57" i="55"/>
  <c r="G114" i="55"/>
  <c r="I276" i="55"/>
  <c r="G58" i="55"/>
  <c r="G115" i="55"/>
  <c r="I277" i="55"/>
  <c r="G59" i="55"/>
  <c r="G116" i="55"/>
  <c r="I278" i="55"/>
  <c r="I279" i="55"/>
  <c r="I280" i="55"/>
  <c r="G33" i="55"/>
  <c r="G10" i="55"/>
  <c r="I282" i="55"/>
  <c r="G120" i="55"/>
  <c r="G121" i="55"/>
  <c r="G122" i="55"/>
  <c r="G123" i="55"/>
  <c r="G124" i="55"/>
  <c r="G125" i="55"/>
  <c r="G126" i="55"/>
  <c r="G127" i="55"/>
  <c r="G128" i="55"/>
  <c r="G129" i="55"/>
  <c r="G130" i="55"/>
  <c r="G131" i="55"/>
  <c r="G132" i="55"/>
  <c r="G133" i="55"/>
  <c r="G134" i="55"/>
  <c r="G135" i="55"/>
  <c r="G136" i="55"/>
  <c r="G137" i="55"/>
  <c r="G138" i="55"/>
  <c r="G139" i="55"/>
  <c r="G140" i="55"/>
  <c r="G141" i="55"/>
  <c r="I284" i="55"/>
  <c r="F11" i="55"/>
  <c r="F63" i="55"/>
  <c r="F68" i="55"/>
  <c r="H233" i="55"/>
  <c r="F12" i="55"/>
  <c r="F69" i="55"/>
  <c r="H234" i="55"/>
  <c r="F13" i="55"/>
  <c r="F70" i="55"/>
  <c r="H235" i="55"/>
  <c r="F14" i="55"/>
  <c r="F71" i="55"/>
  <c r="H236" i="55"/>
  <c r="F15" i="55"/>
  <c r="F72" i="55"/>
  <c r="H237" i="55"/>
  <c r="F16" i="55"/>
  <c r="F73" i="55"/>
  <c r="H238" i="55"/>
  <c r="F17" i="55"/>
  <c r="F74" i="55"/>
  <c r="H239" i="55"/>
  <c r="F18" i="55"/>
  <c r="F75" i="55"/>
  <c r="H240" i="55"/>
  <c r="F19" i="55"/>
  <c r="F76" i="55"/>
  <c r="H241" i="55"/>
  <c r="F20" i="55"/>
  <c r="F77" i="55"/>
  <c r="H242" i="55"/>
  <c r="F21" i="55"/>
  <c r="F78" i="55"/>
  <c r="H243" i="55"/>
  <c r="F22" i="55"/>
  <c r="F79" i="55"/>
  <c r="H244" i="55"/>
  <c r="F23" i="55"/>
  <c r="F80" i="55"/>
  <c r="H245" i="55"/>
  <c r="F24" i="55"/>
  <c r="F81" i="55"/>
  <c r="H246" i="55"/>
  <c r="F25" i="55"/>
  <c r="F82" i="55"/>
  <c r="H247" i="55"/>
  <c r="F26" i="55"/>
  <c r="F83" i="55"/>
  <c r="H248" i="55"/>
  <c r="F27" i="55"/>
  <c r="F84" i="55"/>
  <c r="H249" i="55"/>
  <c r="F28" i="55"/>
  <c r="F85" i="55"/>
  <c r="H250" i="55"/>
  <c r="F29" i="55"/>
  <c r="F86" i="55"/>
  <c r="H251" i="55"/>
  <c r="F30" i="55"/>
  <c r="F87" i="55"/>
  <c r="H252" i="55"/>
  <c r="F31" i="55"/>
  <c r="F88" i="55"/>
  <c r="H253" i="55"/>
  <c r="F32" i="55"/>
  <c r="F89" i="55"/>
  <c r="H254" i="55"/>
  <c r="H255" i="55"/>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H279" i="55"/>
  <c r="H280" i="55"/>
  <c r="F33" i="55"/>
  <c r="F10" i="55"/>
  <c r="H282" i="55"/>
  <c r="F120" i="55"/>
  <c r="F121" i="55"/>
  <c r="F122" i="55"/>
  <c r="F123" i="55"/>
  <c r="F124" i="55"/>
  <c r="F125" i="55"/>
  <c r="F126" i="55"/>
  <c r="F127" i="55"/>
  <c r="F128" i="55"/>
  <c r="F129" i="55"/>
  <c r="F130" i="55"/>
  <c r="F131" i="55"/>
  <c r="F132" i="55"/>
  <c r="F133" i="55"/>
  <c r="F134" i="55"/>
  <c r="F135" i="55"/>
  <c r="F136" i="55"/>
  <c r="F137" i="55"/>
  <c r="F138" i="55"/>
  <c r="F139" i="55"/>
  <c r="F140" i="55"/>
  <c r="F141" i="55"/>
  <c r="H284" i="55"/>
  <c r="E11" i="55"/>
  <c r="E63" i="55"/>
  <c r="E68" i="55"/>
  <c r="G233" i="55"/>
  <c r="E12" i="55"/>
  <c r="E69" i="55"/>
  <c r="G234" i="55"/>
  <c r="E13" i="55"/>
  <c r="E70" i="55"/>
  <c r="G235" i="55"/>
  <c r="E14" i="55"/>
  <c r="E71" i="55"/>
  <c r="G236" i="55"/>
  <c r="E15" i="55"/>
  <c r="E72" i="55"/>
  <c r="G237" i="55"/>
  <c r="E16" i="55"/>
  <c r="E73" i="55"/>
  <c r="G238" i="55"/>
  <c r="E17" i="55"/>
  <c r="E74" i="55"/>
  <c r="G239" i="55"/>
  <c r="E18" i="55"/>
  <c r="E75" i="55"/>
  <c r="G240" i="55"/>
  <c r="E19" i="55"/>
  <c r="E76" i="55"/>
  <c r="G241" i="55"/>
  <c r="E20" i="55"/>
  <c r="E77" i="55"/>
  <c r="G242" i="55"/>
  <c r="E21" i="55"/>
  <c r="E78" i="55"/>
  <c r="G243" i="55"/>
  <c r="E22" i="55"/>
  <c r="E79" i="55"/>
  <c r="G244" i="55"/>
  <c r="E23" i="55"/>
  <c r="E80" i="55"/>
  <c r="G245" i="55"/>
  <c r="E24" i="55"/>
  <c r="E81" i="55"/>
  <c r="G246" i="55"/>
  <c r="E25" i="55"/>
  <c r="E82" i="55"/>
  <c r="G247" i="55"/>
  <c r="E26" i="55"/>
  <c r="E83" i="55"/>
  <c r="G248" i="55"/>
  <c r="E27" i="55"/>
  <c r="E84" i="55"/>
  <c r="G249" i="55"/>
  <c r="E28" i="55"/>
  <c r="E85" i="55"/>
  <c r="G250" i="55"/>
  <c r="E29" i="55"/>
  <c r="E86" i="55"/>
  <c r="G251" i="55"/>
  <c r="E30" i="55"/>
  <c r="E87" i="55"/>
  <c r="G252" i="55"/>
  <c r="E31" i="55"/>
  <c r="E88" i="55"/>
  <c r="G25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E33" i="55"/>
  <c r="E10" i="55"/>
  <c r="G282" i="55"/>
  <c r="E120" i="55"/>
  <c r="E121" i="55"/>
  <c r="E122" i="55"/>
  <c r="E123" i="55"/>
  <c r="E124" i="55"/>
  <c r="E125" i="55"/>
  <c r="E126" i="55"/>
  <c r="E127" i="55"/>
  <c r="E128" i="55"/>
  <c r="E129" i="55"/>
  <c r="E130" i="55"/>
  <c r="E131" i="55"/>
  <c r="E132" i="55"/>
  <c r="E133" i="55"/>
  <c r="E134" i="55"/>
  <c r="E135" i="55"/>
  <c r="E136" i="55"/>
  <c r="E137" i="55"/>
  <c r="E138" i="55"/>
  <c r="E139" i="55"/>
  <c r="E140" i="55"/>
  <c r="E141" i="55"/>
  <c r="G284" i="55"/>
  <c r="D11" i="55"/>
  <c r="D63" i="55"/>
  <c r="D68" i="55"/>
  <c r="F233" i="55"/>
  <c r="D12" i="55"/>
  <c r="D69" i="55"/>
  <c r="F234" i="55"/>
  <c r="D13" i="55"/>
  <c r="D70" i="55"/>
  <c r="F235" i="55"/>
  <c r="D14" i="55"/>
  <c r="D71" i="55"/>
  <c r="F236" i="55"/>
  <c r="D15" i="55"/>
  <c r="D72" i="55"/>
  <c r="F237" i="55"/>
  <c r="D16" i="55"/>
  <c r="D73" i="55"/>
  <c r="F238" i="55"/>
  <c r="D17" i="55"/>
  <c r="D74" i="55"/>
  <c r="F239" i="55"/>
  <c r="D18" i="55"/>
  <c r="D75" i="55"/>
  <c r="F240" i="55"/>
  <c r="D19" i="55"/>
  <c r="D76" i="55"/>
  <c r="F241" i="55"/>
  <c r="D20" i="55"/>
  <c r="D77" i="55"/>
  <c r="F242" i="55"/>
  <c r="D21" i="55"/>
  <c r="D78" i="55"/>
  <c r="F243" i="55"/>
  <c r="D22" i="55"/>
  <c r="D79" i="55"/>
  <c r="F244" i="55"/>
  <c r="D23" i="55"/>
  <c r="D80" i="55"/>
  <c r="F245" i="55"/>
  <c r="D24" i="55"/>
  <c r="D81" i="55"/>
  <c r="F246" i="55"/>
  <c r="D25" i="55"/>
  <c r="D82" i="55"/>
  <c r="F247" i="55"/>
  <c r="D26" i="55"/>
  <c r="D83" i="55"/>
  <c r="F248" i="55"/>
  <c r="D27" i="55"/>
  <c r="D84" i="55"/>
  <c r="F249" i="55"/>
  <c r="D28" i="55"/>
  <c r="D85" i="55"/>
  <c r="F250" i="55"/>
  <c r="D29" i="55"/>
  <c r="D86" i="55"/>
  <c r="F251" i="55"/>
  <c r="D30" i="55"/>
  <c r="D87" i="55"/>
  <c r="F252" i="55"/>
  <c r="D31" i="55"/>
  <c r="D88" i="55"/>
  <c r="F253" i="55"/>
  <c r="D32" i="55"/>
  <c r="D89" i="55"/>
  <c r="F254" i="55"/>
  <c r="F255" i="55"/>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F279" i="55"/>
  <c r="F280" i="55"/>
  <c r="D33" i="55"/>
  <c r="D10" i="55"/>
  <c r="F282" i="55"/>
  <c r="D120" i="55"/>
  <c r="D121" i="55"/>
  <c r="D122" i="55"/>
  <c r="D123" i="55"/>
  <c r="D124" i="55"/>
  <c r="D125" i="55"/>
  <c r="D126" i="55"/>
  <c r="D127" i="55"/>
  <c r="D128" i="55"/>
  <c r="D129" i="55"/>
  <c r="D130" i="55"/>
  <c r="D131" i="55"/>
  <c r="D132" i="55"/>
  <c r="D133" i="55"/>
  <c r="D134" i="55"/>
  <c r="D135" i="55"/>
  <c r="D136" i="55"/>
  <c r="D137" i="55"/>
  <c r="D138" i="55"/>
  <c r="D139" i="55"/>
  <c r="D140" i="55"/>
  <c r="D141" i="55"/>
  <c r="F284" i="55"/>
  <c r="C11" i="55"/>
  <c r="C63" i="55"/>
  <c r="C68" i="55"/>
  <c r="E233" i="55"/>
  <c r="C12" i="55"/>
  <c r="C69" i="55"/>
  <c r="E234" i="55"/>
  <c r="C13" i="55"/>
  <c r="C70" i="55"/>
  <c r="E235" i="55"/>
  <c r="C14" i="55"/>
  <c r="C71" i="55"/>
  <c r="E236" i="55"/>
  <c r="C15" i="55"/>
  <c r="C72" i="55"/>
  <c r="E237" i="55"/>
  <c r="C16" i="55"/>
  <c r="C73" i="55"/>
  <c r="E238" i="55"/>
  <c r="C17" i="55"/>
  <c r="C74" i="55"/>
  <c r="E239" i="55"/>
  <c r="C18" i="55"/>
  <c r="C75" i="55"/>
  <c r="E240" i="55"/>
  <c r="C19" i="55"/>
  <c r="C76" i="55"/>
  <c r="E241" i="55"/>
  <c r="C20" i="55"/>
  <c r="C77" i="55"/>
  <c r="E242" i="55"/>
  <c r="C21" i="55"/>
  <c r="C78" i="55"/>
  <c r="E243" i="55"/>
  <c r="C22" i="55"/>
  <c r="C79" i="55"/>
  <c r="E244" i="55"/>
  <c r="C23" i="55"/>
  <c r="C80" i="55"/>
  <c r="E245" i="55"/>
  <c r="C24" i="55"/>
  <c r="C81" i="55"/>
  <c r="E246" i="55"/>
  <c r="C25" i="55"/>
  <c r="C82" i="55"/>
  <c r="E247" i="55"/>
  <c r="C26" i="55"/>
  <c r="C83" i="55"/>
  <c r="E248" i="55"/>
  <c r="C27" i="55"/>
  <c r="C84" i="55"/>
  <c r="E249" i="55"/>
  <c r="C28" i="55"/>
  <c r="C85" i="55"/>
  <c r="E250" i="55"/>
  <c r="C29" i="55"/>
  <c r="C86" i="55"/>
  <c r="E251" i="55"/>
  <c r="C30" i="55"/>
  <c r="C87" i="55"/>
  <c r="E252" i="55"/>
  <c r="C31" i="55"/>
  <c r="C88" i="55"/>
  <c r="E253" i="55"/>
  <c r="C32" i="55"/>
  <c r="C89" i="55"/>
  <c r="E254" i="55"/>
  <c r="E255" i="55"/>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E279" i="55"/>
  <c r="E280" i="55"/>
  <c r="C33" i="55"/>
  <c r="C10" i="55"/>
  <c r="E282" i="55"/>
  <c r="C120" i="55"/>
  <c r="C121" i="55"/>
  <c r="C122" i="55"/>
  <c r="C123" i="55"/>
  <c r="C124" i="55"/>
  <c r="C125" i="55"/>
  <c r="C126" i="55"/>
  <c r="C127" i="55"/>
  <c r="C128" i="55"/>
  <c r="C129" i="55"/>
  <c r="C130" i="55"/>
  <c r="C131" i="55"/>
  <c r="C132" i="55"/>
  <c r="C133" i="55"/>
  <c r="C134" i="55"/>
  <c r="C135" i="55"/>
  <c r="C136" i="55"/>
  <c r="C137" i="55"/>
  <c r="C138" i="55"/>
  <c r="C139" i="55"/>
  <c r="C140" i="55"/>
  <c r="C141" i="55"/>
  <c r="E284" i="55"/>
  <c r="C72" i="83"/>
  <c r="C95" i="83"/>
  <c r="D72" i="83"/>
  <c r="D95" i="83"/>
  <c r="E72" i="83"/>
  <c r="E95" i="83"/>
  <c r="F72" i="83"/>
  <c r="F95" i="83"/>
  <c r="G72" i="83"/>
  <c r="G95" i="83"/>
  <c r="H72" i="83"/>
  <c r="H95" i="83"/>
  <c r="H34" i="84"/>
  <c r="H62" i="84"/>
  <c r="E149" i="84"/>
  <c r="F149" i="84"/>
  <c r="G149" i="84"/>
  <c r="H149" i="84"/>
  <c r="I149" i="84"/>
  <c r="J149" i="84"/>
  <c r="J163" i="84"/>
  <c r="J164" i="84"/>
  <c r="K12" i="83"/>
  <c r="L12" i="83"/>
  <c r="M12" i="83"/>
  <c r="N12" i="83"/>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H31" i="84"/>
  <c r="H32" i="84"/>
  <c r="H33" i="84"/>
  <c r="C96" i="83"/>
  <c r="D96" i="83"/>
  <c r="E96" i="83"/>
  <c r="F96" i="83"/>
  <c r="G96" i="83"/>
  <c r="H96" i="83"/>
  <c r="H35" i="84"/>
  <c r="C97" i="83"/>
  <c r="D97" i="83"/>
  <c r="E97" i="83"/>
  <c r="F97" i="83"/>
  <c r="G97" i="83"/>
  <c r="H97" i="83"/>
  <c r="H36" i="84"/>
  <c r="C98" i="83"/>
  <c r="D98" i="83"/>
  <c r="E98" i="83"/>
  <c r="F98" i="83"/>
  <c r="G98" i="83"/>
  <c r="H98" i="83"/>
  <c r="H37" i="84"/>
  <c r="H39" i="84"/>
  <c r="H12" i="84"/>
  <c r="J165" i="84"/>
  <c r="J167" i="84"/>
  <c r="H124" i="84"/>
  <c r="H141" i="84"/>
  <c r="H125" i="84"/>
  <c r="H142" i="84"/>
  <c r="H126" i="84"/>
  <c r="H143" i="84"/>
  <c r="J168" i="84"/>
  <c r="G34" i="84"/>
  <c r="G62" i="84"/>
  <c r="I163" i="84"/>
  <c r="I164"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5" i="84"/>
  <c r="G36" i="84"/>
  <c r="G37" i="84"/>
  <c r="G39" i="84"/>
  <c r="G12" i="84"/>
  <c r="I165" i="84"/>
  <c r="I167" i="84"/>
  <c r="G124" i="84"/>
  <c r="G141" i="84"/>
  <c r="G125" i="84"/>
  <c r="G142" i="84"/>
  <c r="G126" i="84"/>
  <c r="G143" i="84"/>
  <c r="I168" i="84"/>
  <c r="F34" i="84"/>
  <c r="F62" i="84"/>
  <c r="H163" i="84"/>
  <c r="H164" i="84"/>
  <c r="L14" i="83"/>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F124" i="84"/>
  <c r="F141" i="84"/>
  <c r="F125" i="84"/>
  <c r="F142" i="84"/>
  <c r="F126" i="84"/>
  <c r="F143" i="84"/>
  <c r="H168" i="84"/>
  <c r="E34" i="84"/>
  <c r="E62" i="84"/>
  <c r="G163" i="84"/>
  <c r="G164" i="84"/>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E124" i="84"/>
  <c r="E141" i="84"/>
  <c r="E125" i="84"/>
  <c r="E142" i="84"/>
  <c r="E126" i="84"/>
  <c r="E143" i="84"/>
  <c r="G168" i="84"/>
  <c r="D34" i="84"/>
  <c r="D62" i="84"/>
  <c r="F163" i="84"/>
  <c r="F164" i="84"/>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D124" i="84"/>
  <c r="D141" i="84"/>
  <c r="D125" i="84"/>
  <c r="D142" i="84"/>
  <c r="D126" i="84"/>
  <c r="D143" i="84"/>
  <c r="F168" i="84"/>
  <c r="C34" i="84"/>
  <c r="C62" i="84"/>
  <c r="E163" i="84"/>
  <c r="E164" i="84"/>
  <c r="C74" i="83"/>
  <c r="C13" i="84"/>
  <c r="C14" i="84"/>
  <c r="C15" i="84"/>
  <c r="C17" i="84"/>
  <c r="C18" i="84"/>
  <c r="C19" i="84"/>
  <c r="C20" i="84"/>
  <c r="C21" i="84"/>
  <c r="C22" i="84"/>
  <c r="C23" i="84"/>
  <c r="C24" i="84"/>
  <c r="C25" i="84"/>
  <c r="C26" i="84"/>
  <c r="C27" i="84"/>
  <c r="C28" i="84"/>
  <c r="C29" i="84"/>
  <c r="C30" i="84"/>
  <c r="C31" i="84"/>
  <c r="C32" i="84"/>
  <c r="C33" i="84"/>
  <c r="C35" i="84"/>
  <c r="C36" i="84"/>
  <c r="C37" i="84"/>
  <c r="C39" i="84"/>
  <c r="C12" i="84"/>
  <c r="E165" i="84"/>
  <c r="E167" i="84"/>
  <c r="C124" i="84"/>
  <c r="C141" i="84"/>
  <c r="C125" i="84"/>
  <c r="C142" i="84"/>
  <c r="C126" i="84"/>
  <c r="C143" i="84"/>
  <c r="E168" i="84"/>
  <c r="C33" i="72"/>
  <c r="D33" i="72"/>
  <c r="E33" i="72"/>
  <c r="F33" i="72"/>
  <c r="G33" i="72"/>
  <c r="H33" i="72"/>
  <c r="H34" i="72"/>
  <c r="E133" i="72"/>
  <c r="F133" i="72"/>
  <c r="G133" i="72"/>
  <c r="H133" i="72"/>
  <c r="I133" i="72"/>
  <c r="J133" i="72"/>
  <c r="J152" i="72"/>
  <c r="J153" i="72"/>
  <c r="J154" i="72"/>
  <c r="J155" i="72"/>
  <c r="C67" i="81"/>
  <c r="D67" i="81"/>
  <c r="E67" i="81"/>
  <c r="F67" i="81"/>
  <c r="G67" i="81"/>
  <c r="H67" i="81"/>
  <c r="H13" i="72"/>
  <c r="C69" i="81"/>
  <c r="D69" i="81"/>
  <c r="E69" i="81"/>
  <c r="F69" i="81"/>
  <c r="G69" i="81"/>
  <c r="H69" i="81"/>
  <c r="H15" i="72"/>
  <c r="C71" i="81"/>
  <c r="D71" i="81"/>
  <c r="E71" i="81"/>
  <c r="F71" i="81"/>
  <c r="G71" i="81"/>
  <c r="H71" i="81"/>
  <c r="H17" i="72"/>
  <c r="C73" i="81"/>
  <c r="D73" i="81"/>
  <c r="E73" i="81"/>
  <c r="F73" i="81"/>
  <c r="G73" i="81"/>
  <c r="H73" i="81"/>
  <c r="H19" i="72"/>
  <c r="C75" i="81"/>
  <c r="D75" i="81"/>
  <c r="E75" i="81"/>
  <c r="F75" i="81"/>
  <c r="G75" i="81"/>
  <c r="H75" i="81"/>
  <c r="H21" i="72"/>
  <c r="C76" i="81"/>
  <c r="D76" i="81"/>
  <c r="E76" i="81"/>
  <c r="F76" i="81"/>
  <c r="G76" i="81"/>
  <c r="H76" i="81"/>
  <c r="H22" i="72"/>
  <c r="C78" i="81"/>
  <c r="D78" i="81"/>
  <c r="E78" i="81"/>
  <c r="F78" i="81"/>
  <c r="G78" i="81"/>
  <c r="H78" i="81"/>
  <c r="H24" i="72"/>
  <c r="C79" i="81"/>
  <c r="D79" i="81"/>
  <c r="E79" i="81"/>
  <c r="F79" i="81"/>
  <c r="G79" i="81"/>
  <c r="H79" i="81"/>
  <c r="H25" i="72"/>
  <c r="C80" i="81"/>
  <c r="D80" i="81"/>
  <c r="E80" i="81"/>
  <c r="F80" i="81"/>
  <c r="G80" i="81"/>
  <c r="H80" i="81"/>
  <c r="H26" i="72"/>
  <c r="C81" i="81"/>
  <c r="D81" i="81"/>
  <c r="E81" i="81"/>
  <c r="F81" i="81"/>
  <c r="G81" i="81"/>
  <c r="H81" i="81"/>
  <c r="H27" i="72"/>
  <c r="C82" i="81"/>
  <c r="D82" i="81"/>
  <c r="E82" i="81"/>
  <c r="F82" i="81"/>
  <c r="G82" i="81"/>
  <c r="H82" i="81"/>
  <c r="H28" i="72"/>
  <c r="C83" i="81"/>
  <c r="D83" i="81"/>
  <c r="E83" i="81"/>
  <c r="F83" i="81"/>
  <c r="G83" i="81"/>
  <c r="H83" i="81"/>
  <c r="H29" i="72"/>
  <c r="C84" i="81"/>
  <c r="D84" i="81"/>
  <c r="E84" i="81"/>
  <c r="F84" i="81"/>
  <c r="G84" i="81"/>
  <c r="H84" i="81"/>
  <c r="H30" i="72"/>
  <c r="H32" i="72"/>
  <c r="J156" i="72"/>
  <c r="H12" i="72"/>
  <c r="J157" i="72"/>
  <c r="H35" i="72"/>
  <c r="J159" i="72"/>
  <c r="H78" i="72"/>
  <c r="H63" i="72"/>
  <c r="J160" i="72"/>
  <c r="G34" i="72"/>
  <c r="I152" i="72"/>
  <c r="I153" i="72"/>
  <c r="I154" i="72"/>
  <c r="I155" i="72"/>
  <c r="G13" i="72"/>
  <c r="G15" i="72"/>
  <c r="G17" i="72"/>
  <c r="G19" i="72"/>
  <c r="G21" i="72"/>
  <c r="G22" i="72"/>
  <c r="G24" i="72"/>
  <c r="G25" i="72"/>
  <c r="G26" i="72"/>
  <c r="G27" i="72"/>
  <c r="G28" i="72"/>
  <c r="G29" i="72"/>
  <c r="G30" i="72"/>
  <c r="G32" i="72"/>
  <c r="I156" i="72"/>
  <c r="G12" i="72"/>
  <c r="I157" i="72"/>
  <c r="G35" i="72"/>
  <c r="I159" i="72"/>
  <c r="G78" i="72"/>
  <c r="G63" i="72"/>
  <c r="I160" i="72"/>
  <c r="F34" i="72"/>
  <c r="H152" i="72"/>
  <c r="H153" i="72"/>
  <c r="H154" i="72"/>
  <c r="H155" i="72"/>
  <c r="F13" i="72"/>
  <c r="F15" i="72"/>
  <c r="F17" i="72"/>
  <c r="F19" i="72"/>
  <c r="F21" i="72"/>
  <c r="F22" i="72"/>
  <c r="F24" i="72"/>
  <c r="F25" i="72"/>
  <c r="F26" i="72"/>
  <c r="F27" i="72"/>
  <c r="F28" i="72"/>
  <c r="F29" i="72"/>
  <c r="F30" i="72"/>
  <c r="F32" i="72"/>
  <c r="H156" i="72"/>
  <c r="F12" i="72"/>
  <c r="H157" i="72"/>
  <c r="F35" i="72"/>
  <c r="H159" i="72"/>
  <c r="F78" i="72"/>
  <c r="F63" i="72"/>
  <c r="H160" i="72"/>
  <c r="E34" i="72"/>
  <c r="G152" i="72"/>
  <c r="G153" i="72"/>
  <c r="G154" i="72"/>
  <c r="G155" i="72"/>
  <c r="E13" i="72"/>
  <c r="E15" i="72"/>
  <c r="E17" i="72"/>
  <c r="E19" i="72"/>
  <c r="E21" i="72"/>
  <c r="E22" i="72"/>
  <c r="E24" i="72"/>
  <c r="E25" i="72"/>
  <c r="E26" i="72"/>
  <c r="E27" i="72"/>
  <c r="E28" i="72"/>
  <c r="E29" i="72"/>
  <c r="E30" i="72"/>
  <c r="E32" i="72"/>
  <c r="G156" i="72"/>
  <c r="E12" i="72"/>
  <c r="G157" i="72"/>
  <c r="E35" i="72"/>
  <c r="G159" i="72"/>
  <c r="E78" i="72"/>
  <c r="E63" i="72"/>
  <c r="G160" i="72"/>
  <c r="D34" i="72"/>
  <c r="F152" i="72"/>
  <c r="F153" i="72"/>
  <c r="F154" i="72"/>
  <c r="F155" i="72"/>
  <c r="D13" i="72"/>
  <c r="D15" i="72"/>
  <c r="D17" i="72"/>
  <c r="D19" i="72"/>
  <c r="D21" i="72"/>
  <c r="D22" i="72"/>
  <c r="D24" i="72"/>
  <c r="D25" i="72"/>
  <c r="D26" i="72"/>
  <c r="D27" i="72"/>
  <c r="D28" i="72"/>
  <c r="D29" i="72"/>
  <c r="D30" i="72"/>
  <c r="D32" i="72"/>
  <c r="F156" i="72"/>
  <c r="D12" i="72"/>
  <c r="F157" i="72"/>
  <c r="D35" i="72"/>
  <c r="F159" i="72"/>
  <c r="D78" i="72"/>
  <c r="D63" i="72"/>
  <c r="F160" i="72"/>
  <c r="C34" i="72"/>
  <c r="E152" i="72"/>
  <c r="E153" i="72"/>
  <c r="E154" i="72"/>
  <c r="E155" i="72"/>
  <c r="C13" i="72"/>
  <c r="C15" i="72"/>
  <c r="C17" i="72"/>
  <c r="C19" i="72"/>
  <c r="C21" i="72"/>
  <c r="C22" i="72"/>
  <c r="C24" i="72"/>
  <c r="C25" i="72"/>
  <c r="C26" i="72"/>
  <c r="C27" i="72"/>
  <c r="C28" i="72"/>
  <c r="C29" i="72"/>
  <c r="C30" i="72"/>
  <c r="C32" i="72"/>
  <c r="E156" i="72"/>
  <c r="C12" i="72"/>
  <c r="E157" i="72"/>
  <c r="C35" i="72"/>
  <c r="E159" i="72"/>
  <c r="C78" i="72"/>
  <c r="C63" i="72"/>
  <c r="E160" i="72"/>
  <c r="K15" i="22"/>
  <c r="J15" i="22"/>
  <c r="I15" i="22"/>
  <c r="H15" i="22"/>
  <c r="G15" i="22"/>
  <c r="F15" i="22"/>
  <c r="K14" i="22"/>
  <c r="J14" i="22"/>
  <c r="I14" i="22"/>
  <c r="H14" i="22"/>
  <c r="G14" i="22"/>
  <c r="F14" i="22"/>
  <c r="K13" i="22"/>
  <c r="J13" i="22"/>
  <c r="I13" i="22"/>
  <c r="H13" i="22"/>
  <c r="G13" i="22"/>
  <c r="F13" i="22"/>
  <c r="K12" i="22"/>
  <c r="J12" i="22"/>
  <c r="I12" i="22"/>
  <c r="H12" i="22"/>
  <c r="G12" i="22"/>
  <c r="F12" i="22"/>
  <c r="K11" i="22"/>
  <c r="J11" i="22"/>
  <c r="I11" i="22"/>
  <c r="H11" i="22"/>
  <c r="G11" i="22"/>
  <c r="F11" i="22"/>
  <c r="K10" i="22"/>
  <c r="J10" i="22"/>
  <c r="I10" i="22"/>
  <c r="H10" i="22"/>
  <c r="G10" i="22"/>
  <c r="F10" i="22"/>
  <c r="K8" i="22"/>
  <c r="J8" i="22"/>
  <c r="I8" i="22"/>
  <c r="H8" i="22"/>
  <c r="G8" i="22"/>
  <c r="F8" i="22"/>
  <c r="K9" i="22"/>
  <c r="J9" i="22"/>
  <c r="I9" i="22"/>
  <c r="H9" i="22"/>
  <c r="G9" i="22"/>
  <c r="F9" i="22"/>
  <c r="C90" i="81"/>
  <c r="C92" i="81"/>
  <c r="D90" i="81"/>
  <c r="D92" i="81"/>
  <c r="E90" i="81"/>
  <c r="E92" i="81"/>
  <c r="F90" i="81"/>
  <c r="F92" i="81"/>
  <c r="G90" i="81"/>
  <c r="G92" i="81"/>
  <c r="H90" i="81"/>
  <c r="H92" i="81"/>
  <c r="I9" i="53"/>
  <c r="I62" i="53"/>
  <c r="E124" i="53"/>
  <c r="F124" i="53"/>
  <c r="G124" i="53"/>
  <c r="H124" i="53"/>
  <c r="I124" i="53"/>
  <c r="J124" i="53"/>
  <c r="J197" i="53"/>
  <c r="C93" i="81"/>
  <c r="D93" i="81"/>
  <c r="E93" i="81"/>
  <c r="F93" i="81"/>
  <c r="G93" i="81"/>
  <c r="H93" i="81"/>
  <c r="I10" i="53"/>
  <c r="I63" i="53"/>
  <c r="J198" i="53"/>
  <c r="C94" i="81"/>
  <c r="D94" i="81"/>
  <c r="E94" i="81"/>
  <c r="F94" i="81"/>
  <c r="G94" i="81"/>
  <c r="H94" i="81"/>
  <c r="I11" i="53"/>
  <c r="I64" i="53"/>
  <c r="J199" i="53"/>
  <c r="C95" i="81"/>
  <c r="D95" i="81"/>
  <c r="E95" i="81"/>
  <c r="F95" i="81"/>
  <c r="G95" i="81"/>
  <c r="H95" i="81"/>
  <c r="I12" i="53"/>
  <c r="I65" i="53"/>
  <c r="J200" i="53"/>
  <c r="C96" i="81"/>
  <c r="D96" i="81"/>
  <c r="E96" i="81"/>
  <c r="F96" i="81"/>
  <c r="G96" i="81"/>
  <c r="H96" i="81"/>
  <c r="I13" i="53"/>
  <c r="I66" i="53"/>
  <c r="J201" i="53"/>
  <c r="C97" i="81"/>
  <c r="D97" i="81"/>
  <c r="E97" i="81"/>
  <c r="F97" i="81"/>
  <c r="G97" i="81"/>
  <c r="H97" i="81"/>
  <c r="I14" i="53"/>
  <c r="I67" i="53"/>
  <c r="J202" i="53"/>
  <c r="C98" i="81"/>
  <c r="D98" i="81"/>
  <c r="E98" i="81"/>
  <c r="F98" i="81"/>
  <c r="G98" i="81"/>
  <c r="H98" i="81"/>
  <c r="I15" i="53"/>
  <c r="I68" i="53"/>
  <c r="J203" i="53"/>
  <c r="C99" i="81"/>
  <c r="D99" i="81"/>
  <c r="E99" i="81"/>
  <c r="F99" i="81"/>
  <c r="G99" i="81"/>
  <c r="H99" i="81"/>
  <c r="I16" i="53"/>
  <c r="I69" i="53"/>
  <c r="J204" i="53"/>
  <c r="C101" i="81"/>
  <c r="D101" i="81"/>
  <c r="E101" i="81"/>
  <c r="F101" i="81"/>
  <c r="G101" i="81"/>
  <c r="H101" i="81"/>
  <c r="I18" i="53"/>
  <c r="I71" i="53"/>
  <c r="J206" i="53"/>
  <c r="C102" i="81"/>
  <c r="D102" i="81"/>
  <c r="E102" i="81"/>
  <c r="F102" i="81"/>
  <c r="G102" i="81"/>
  <c r="H102" i="81"/>
  <c r="I19" i="53"/>
  <c r="I72" i="53"/>
  <c r="J207" i="53"/>
  <c r="C103" i="81"/>
  <c r="D103" i="81"/>
  <c r="E103" i="81"/>
  <c r="F103" i="81"/>
  <c r="G103" i="81"/>
  <c r="H103" i="81"/>
  <c r="I20" i="53"/>
  <c r="I73" i="53"/>
  <c r="J208" i="53"/>
  <c r="C104" i="81"/>
  <c r="D104" i="81"/>
  <c r="E104" i="81"/>
  <c r="F104" i="81"/>
  <c r="G104" i="81"/>
  <c r="H104" i="81"/>
  <c r="I21" i="53"/>
  <c r="I74" i="53"/>
  <c r="J209" i="53"/>
  <c r="C105" i="81"/>
  <c r="D105" i="81"/>
  <c r="E105" i="81"/>
  <c r="F105" i="81"/>
  <c r="G105" i="81"/>
  <c r="H105" i="81"/>
  <c r="I22" i="53"/>
  <c r="I75" i="53"/>
  <c r="J210" i="53"/>
  <c r="C106" i="81"/>
  <c r="D106" i="81"/>
  <c r="E106" i="81"/>
  <c r="F106" i="81"/>
  <c r="G106" i="81"/>
  <c r="H106" i="81"/>
  <c r="I23" i="53"/>
  <c r="I76" i="53"/>
  <c r="J211" i="53"/>
  <c r="C107" i="81"/>
  <c r="D107" i="81"/>
  <c r="E107" i="81"/>
  <c r="F107" i="81"/>
  <c r="G107" i="81"/>
  <c r="H107" i="81"/>
  <c r="I24" i="53"/>
  <c r="I77" i="53"/>
  <c r="J212" i="53"/>
  <c r="C108" i="81"/>
  <c r="D108" i="81"/>
  <c r="E108" i="81"/>
  <c r="F108" i="81"/>
  <c r="G108" i="81"/>
  <c r="H108" i="81"/>
  <c r="I25" i="53"/>
  <c r="I78" i="53"/>
  <c r="J213" i="53"/>
  <c r="C110" i="81"/>
  <c r="D110" i="81"/>
  <c r="E110" i="81"/>
  <c r="F110" i="81"/>
  <c r="G110" i="81"/>
  <c r="H110" i="81"/>
  <c r="I27" i="53"/>
  <c r="I80" i="53"/>
  <c r="J215" i="53"/>
  <c r="C111" i="81"/>
  <c r="D111" i="81"/>
  <c r="E111" i="81"/>
  <c r="F111" i="81"/>
  <c r="G111" i="81"/>
  <c r="H111" i="81"/>
  <c r="I28" i="53"/>
  <c r="I81" i="53"/>
  <c r="J216" i="53"/>
  <c r="C112" i="81"/>
  <c r="D112" i="81"/>
  <c r="E112" i="81"/>
  <c r="F112" i="81"/>
  <c r="G112" i="81"/>
  <c r="H112" i="81"/>
  <c r="I29" i="53"/>
  <c r="I82" i="53"/>
  <c r="J217" i="53"/>
  <c r="C113" i="81"/>
  <c r="D113" i="81"/>
  <c r="E113" i="81"/>
  <c r="F113" i="81"/>
  <c r="G113" i="81"/>
  <c r="H113" i="81"/>
  <c r="I30" i="53"/>
  <c r="I83" i="53"/>
  <c r="J218" i="53"/>
  <c r="I31" i="53"/>
  <c r="I84" i="53"/>
  <c r="J219" i="53"/>
  <c r="C100" i="83"/>
  <c r="C102" i="83"/>
  <c r="D100" i="83"/>
  <c r="D102" i="83"/>
  <c r="E100" i="83"/>
  <c r="E102" i="83"/>
  <c r="F100" i="83"/>
  <c r="F102" i="83"/>
  <c r="G100" i="83"/>
  <c r="G102" i="83"/>
  <c r="H100" i="83"/>
  <c r="H102" i="83"/>
  <c r="I33" i="53"/>
  <c r="I86" i="53"/>
  <c r="J221" i="53"/>
  <c r="C103" i="83"/>
  <c r="D103" i="83"/>
  <c r="E103" i="83"/>
  <c r="F103" i="83"/>
  <c r="G103" i="83"/>
  <c r="H103" i="83"/>
  <c r="I34" i="53"/>
  <c r="I87" i="53"/>
  <c r="J222" i="53"/>
  <c r="C104" i="83"/>
  <c r="D104" i="83"/>
  <c r="E104" i="83"/>
  <c r="F104" i="83"/>
  <c r="G104" i="83"/>
  <c r="H104" i="83"/>
  <c r="I35" i="53"/>
  <c r="I88" i="53"/>
  <c r="J223" i="53"/>
  <c r="C105" i="83"/>
  <c r="D105" i="83"/>
  <c r="E105" i="83"/>
  <c r="F105" i="83"/>
  <c r="G105" i="83"/>
  <c r="H105" i="83"/>
  <c r="I36" i="53"/>
  <c r="I89" i="53"/>
  <c r="J224" i="53"/>
  <c r="C106" i="83"/>
  <c r="D106" i="83"/>
  <c r="E106" i="83"/>
  <c r="F106" i="83"/>
  <c r="G106" i="83"/>
  <c r="H106" i="83"/>
  <c r="I37" i="53"/>
  <c r="I90" i="53"/>
  <c r="J225" i="53"/>
  <c r="C107" i="83"/>
  <c r="D107" i="83"/>
  <c r="E107" i="83"/>
  <c r="F107" i="83"/>
  <c r="G107" i="83"/>
  <c r="H107" i="83"/>
  <c r="I38" i="53"/>
  <c r="I91" i="53"/>
  <c r="J226" i="53"/>
  <c r="C108" i="83"/>
  <c r="D108" i="83"/>
  <c r="E108" i="83"/>
  <c r="F108" i="83"/>
  <c r="G108" i="83"/>
  <c r="H108" i="83"/>
  <c r="I39" i="53"/>
  <c r="I92" i="53"/>
  <c r="J227" i="53"/>
  <c r="C109" i="83"/>
  <c r="D109" i="83"/>
  <c r="E109" i="83"/>
  <c r="F109" i="83"/>
  <c r="G109" i="83"/>
  <c r="H109" i="83"/>
  <c r="I40" i="53"/>
  <c r="I93" i="53"/>
  <c r="J228" i="53"/>
  <c r="C110" i="83"/>
  <c r="D110" i="83"/>
  <c r="E110" i="83"/>
  <c r="F110" i="83"/>
  <c r="G110" i="83"/>
  <c r="H110" i="83"/>
  <c r="I41" i="53"/>
  <c r="I94" i="53"/>
  <c r="J229" i="53"/>
  <c r="C111" i="83"/>
  <c r="D111" i="83"/>
  <c r="E111" i="83"/>
  <c r="F111" i="83"/>
  <c r="G111" i="83"/>
  <c r="H111" i="83"/>
  <c r="I42" i="53"/>
  <c r="I95" i="53"/>
  <c r="J230" i="53"/>
  <c r="C112" i="83"/>
  <c r="D112" i="83"/>
  <c r="E112" i="83"/>
  <c r="F112" i="83"/>
  <c r="G112" i="83"/>
  <c r="H112" i="83"/>
  <c r="I43" i="53"/>
  <c r="I96" i="53"/>
  <c r="J231" i="53"/>
  <c r="C113" i="83"/>
  <c r="D113" i="83"/>
  <c r="E113" i="83"/>
  <c r="F113" i="83"/>
  <c r="G113" i="83"/>
  <c r="H113" i="83"/>
  <c r="I44" i="53"/>
  <c r="I97" i="53"/>
  <c r="J232" i="53"/>
  <c r="C114" i="83"/>
  <c r="D114" i="83"/>
  <c r="E114" i="83"/>
  <c r="F114" i="83"/>
  <c r="G114" i="83"/>
  <c r="H114" i="83"/>
  <c r="I45" i="53"/>
  <c r="I98" i="53"/>
  <c r="J233" i="53"/>
  <c r="C115" i="83"/>
  <c r="D115" i="83"/>
  <c r="E115" i="83"/>
  <c r="F115" i="83"/>
  <c r="G115" i="83"/>
  <c r="H115" i="83"/>
  <c r="I46" i="53"/>
  <c r="I99" i="53"/>
  <c r="J234" i="53"/>
  <c r="C116" i="83"/>
  <c r="D116" i="83"/>
  <c r="E116" i="83"/>
  <c r="F116" i="83"/>
  <c r="G116" i="83"/>
  <c r="H116" i="83"/>
  <c r="I47" i="53"/>
  <c r="I100" i="53"/>
  <c r="J235" i="53"/>
  <c r="C117" i="83"/>
  <c r="D117" i="83"/>
  <c r="E117" i="83"/>
  <c r="F117" i="83"/>
  <c r="G117" i="83"/>
  <c r="H117" i="83"/>
  <c r="I48" i="53"/>
  <c r="I101" i="53"/>
  <c r="J236" i="53"/>
  <c r="C118" i="83"/>
  <c r="D118" i="83"/>
  <c r="E118" i="83"/>
  <c r="F118" i="83"/>
  <c r="G118" i="83"/>
  <c r="H118" i="83"/>
  <c r="I49" i="53"/>
  <c r="I102" i="53"/>
  <c r="J237" i="53"/>
  <c r="C119" i="83"/>
  <c r="D119" i="83"/>
  <c r="E119" i="83"/>
  <c r="F119" i="83"/>
  <c r="G119" i="83"/>
  <c r="H119" i="83"/>
  <c r="I50" i="53"/>
  <c r="I103" i="53"/>
  <c r="J238" i="53"/>
  <c r="C123" i="83"/>
  <c r="D123" i="83"/>
  <c r="E123" i="83"/>
  <c r="F123" i="83"/>
  <c r="G123" i="83"/>
  <c r="H123" i="83"/>
  <c r="I54" i="53"/>
  <c r="I107" i="53"/>
  <c r="J239" i="53"/>
  <c r="C124" i="83"/>
  <c r="D124" i="83"/>
  <c r="E124" i="83"/>
  <c r="F124" i="83"/>
  <c r="G124" i="83"/>
  <c r="H124" i="83"/>
  <c r="I55" i="53"/>
  <c r="I108" i="53"/>
  <c r="J240" i="53"/>
  <c r="C125" i="83"/>
  <c r="D125" i="83"/>
  <c r="E125" i="83"/>
  <c r="F125" i="83"/>
  <c r="G125" i="83"/>
  <c r="H125" i="83"/>
  <c r="I56" i="53"/>
  <c r="I109" i="53"/>
  <c r="J241" i="53"/>
  <c r="C126" i="83"/>
  <c r="D126" i="83"/>
  <c r="E126" i="83"/>
  <c r="F126" i="83"/>
  <c r="G126" i="83"/>
  <c r="H126" i="83"/>
  <c r="I57" i="53"/>
  <c r="I110" i="53"/>
  <c r="J242"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I114" i="53"/>
  <c r="J245" i="53"/>
  <c r="I115" i="53"/>
  <c r="J246" i="53"/>
  <c r="I116" i="53"/>
  <c r="J247" i="53"/>
  <c r="I118" i="53"/>
  <c r="J250" i="53"/>
  <c r="I119" i="53"/>
  <c r="J251" i="53"/>
  <c r="J205" i="53"/>
  <c r="J214" i="53"/>
  <c r="J243" i="53"/>
  <c r="K15" i="61"/>
  <c r="H9" i="53"/>
  <c r="H62" i="53"/>
  <c r="I197" i="53"/>
  <c r="H10" i="53"/>
  <c r="H63" i="53"/>
  <c r="I198" i="53"/>
  <c r="H11" i="53"/>
  <c r="H64" i="53"/>
  <c r="I199" i="53"/>
  <c r="H12" i="53"/>
  <c r="H65" i="53"/>
  <c r="I200" i="53"/>
  <c r="H13" i="53"/>
  <c r="H66" i="53"/>
  <c r="I201" i="53"/>
  <c r="H14" i="53"/>
  <c r="H67" i="53"/>
  <c r="I202" i="53"/>
  <c r="H15" i="53"/>
  <c r="H68" i="53"/>
  <c r="I203" i="53"/>
  <c r="H16" i="53"/>
  <c r="H69" i="53"/>
  <c r="I204" i="53"/>
  <c r="H18" i="53"/>
  <c r="H71" i="53"/>
  <c r="I206" i="53"/>
  <c r="H19" i="53"/>
  <c r="H72" i="53"/>
  <c r="I207" i="53"/>
  <c r="H20" i="53"/>
  <c r="H73" i="53"/>
  <c r="I208" i="53"/>
  <c r="H21" i="53"/>
  <c r="H74" i="53"/>
  <c r="I209" i="53"/>
  <c r="H22" i="53"/>
  <c r="H75" i="53"/>
  <c r="I210" i="53"/>
  <c r="H23" i="53"/>
  <c r="H76" i="53"/>
  <c r="I211" i="53"/>
  <c r="H24" i="53"/>
  <c r="H77" i="53"/>
  <c r="I212" i="53"/>
  <c r="H25" i="53"/>
  <c r="H78" i="53"/>
  <c r="I213" i="53"/>
  <c r="H27" i="53"/>
  <c r="H80" i="53"/>
  <c r="I215" i="53"/>
  <c r="H28" i="53"/>
  <c r="H81" i="53"/>
  <c r="I216" i="53"/>
  <c r="H29" i="53"/>
  <c r="H82" i="53"/>
  <c r="I217" i="53"/>
  <c r="H30" i="53"/>
  <c r="H83" i="53"/>
  <c r="I218" i="53"/>
  <c r="H31" i="53"/>
  <c r="H84" i="53"/>
  <c r="I219" i="53"/>
  <c r="H33" i="53"/>
  <c r="H86" i="53"/>
  <c r="I221" i="53"/>
  <c r="H34" i="53"/>
  <c r="H87" i="53"/>
  <c r="I222" i="53"/>
  <c r="H35" i="53"/>
  <c r="H88" i="53"/>
  <c r="I223" i="53"/>
  <c r="H36" i="53"/>
  <c r="H89" i="53"/>
  <c r="I224" i="53"/>
  <c r="H37" i="53"/>
  <c r="H90" i="53"/>
  <c r="I225" i="53"/>
  <c r="H38" i="53"/>
  <c r="H91" i="53"/>
  <c r="I226" i="53"/>
  <c r="H39" i="53"/>
  <c r="H92" i="53"/>
  <c r="I227" i="53"/>
  <c r="H40" i="53"/>
  <c r="H93" i="53"/>
  <c r="I228" i="53"/>
  <c r="H41" i="53"/>
  <c r="H94" i="53"/>
  <c r="I229" i="53"/>
  <c r="H42" i="53"/>
  <c r="H95" i="53"/>
  <c r="I230" i="53"/>
  <c r="H43" i="53"/>
  <c r="H96" i="53"/>
  <c r="I231" i="53"/>
  <c r="H44" i="53"/>
  <c r="H97" i="53"/>
  <c r="I232" i="53"/>
  <c r="H45" i="53"/>
  <c r="H98" i="53"/>
  <c r="I233" i="53"/>
  <c r="H46" i="53"/>
  <c r="H99" i="53"/>
  <c r="I234" i="53"/>
  <c r="H47" i="53"/>
  <c r="H100" i="53"/>
  <c r="I235" i="53"/>
  <c r="H48" i="53"/>
  <c r="H101" i="53"/>
  <c r="I236" i="53"/>
  <c r="H49" i="53"/>
  <c r="H102" i="53"/>
  <c r="I237" i="53"/>
  <c r="H50" i="53"/>
  <c r="H103" i="53"/>
  <c r="I238" i="53"/>
  <c r="H54" i="53"/>
  <c r="H107" i="53"/>
  <c r="I239" i="53"/>
  <c r="H55" i="53"/>
  <c r="H108" i="53"/>
  <c r="I240" i="53"/>
  <c r="H56" i="53"/>
  <c r="H109" i="53"/>
  <c r="I241" i="53"/>
  <c r="H57" i="53"/>
  <c r="H110" i="53"/>
  <c r="I242" i="53"/>
  <c r="H51" i="53"/>
  <c r="H104" i="53"/>
  <c r="H52" i="53"/>
  <c r="H105" i="53"/>
  <c r="H53" i="53"/>
  <c r="H106" i="53"/>
  <c r="H114" i="53"/>
  <c r="I245" i="53"/>
  <c r="H115" i="53"/>
  <c r="I246" i="53"/>
  <c r="H116" i="53"/>
  <c r="I247" i="53"/>
  <c r="H118" i="53"/>
  <c r="I250" i="53"/>
  <c r="H119" i="53"/>
  <c r="I251" i="53"/>
  <c r="I205" i="53"/>
  <c r="I214" i="53"/>
  <c r="I243" i="53"/>
  <c r="J15" i="61"/>
  <c r="G9" i="53"/>
  <c r="G62" i="53"/>
  <c r="H197" i="53"/>
  <c r="G10" i="53"/>
  <c r="G63" i="53"/>
  <c r="H198" i="53"/>
  <c r="G11" i="53"/>
  <c r="G64" i="53"/>
  <c r="H199" i="53"/>
  <c r="G12" i="53"/>
  <c r="G65" i="53"/>
  <c r="H200" i="53"/>
  <c r="G13" i="53"/>
  <c r="G66" i="53"/>
  <c r="H201" i="53"/>
  <c r="G14" i="53"/>
  <c r="G67" i="53"/>
  <c r="H202" i="53"/>
  <c r="G15" i="53"/>
  <c r="G68" i="53"/>
  <c r="H203" i="53"/>
  <c r="G16" i="53"/>
  <c r="G69" i="53"/>
  <c r="H204" i="53"/>
  <c r="G18" i="53"/>
  <c r="G71" i="53"/>
  <c r="H206" i="53"/>
  <c r="G19" i="53"/>
  <c r="G72" i="53"/>
  <c r="H207" i="53"/>
  <c r="G20" i="53"/>
  <c r="G73" i="53"/>
  <c r="H208" i="53"/>
  <c r="G21" i="53"/>
  <c r="G74" i="53"/>
  <c r="H209" i="53"/>
  <c r="G22" i="53"/>
  <c r="G75" i="53"/>
  <c r="H210" i="53"/>
  <c r="G23" i="53"/>
  <c r="G76" i="53"/>
  <c r="H211" i="53"/>
  <c r="G24" i="53"/>
  <c r="G77" i="53"/>
  <c r="H212" i="53"/>
  <c r="G25" i="53"/>
  <c r="G78" i="53"/>
  <c r="H213" i="53"/>
  <c r="G27" i="53"/>
  <c r="G80" i="53"/>
  <c r="H215" i="53"/>
  <c r="G28" i="53"/>
  <c r="G81" i="53"/>
  <c r="H216" i="53"/>
  <c r="G29" i="53"/>
  <c r="G82" i="53"/>
  <c r="H217" i="53"/>
  <c r="G30" i="53"/>
  <c r="G83" i="53"/>
  <c r="H218" i="53"/>
  <c r="G31" i="53"/>
  <c r="G84" i="53"/>
  <c r="H219" i="53"/>
  <c r="G33" i="53"/>
  <c r="G86" i="53"/>
  <c r="H221" i="53"/>
  <c r="G34" i="53"/>
  <c r="G87" i="53"/>
  <c r="H222" i="53"/>
  <c r="G35" i="53"/>
  <c r="G88" i="53"/>
  <c r="H223" i="53"/>
  <c r="G36" i="53"/>
  <c r="G89" i="53"/>
  <c r="H224" i="53"/>
  <c r="G37" i="53"/>
  <c r="G90" i="53"/>
  <c r="H225" i="53"/>
  <c r="G38" i="53"/>
  <c r="G91" i="53"/>
  <c r="H226" i="53"/>
  <c r="G39" i="53"/>
  <c r="G92" i="53"/>
  <c r="H227" i="53"/>
  <c r="G40" i="53"/>
  <c r="G93" i="53"/>
  <c r="H228" i="53"/>
  <c r="G41" i="53"/>
  <c r="G94" i="53"/>
  <c r="H229" i="53"/>
  <c r="G42" i="53"/>
  <c r="G95" i="53"/>
  <c r="H230" i="53"/>
  <c r="G43" i="53"/>
  <c r="G96" i="53"/>
  <c r="H231" i="53"/>
  <c r="G44" i="53"/>
  <c r="G97" i="53"/>
  <c r="H232" i="53"/>
  <c r="G45" i="53"/>
  <c r="G98" i="53"/>
  <c r="H233" i="53"/>
  <c r="G46" i="53"/>
  <c r="G99" i="53"/>
  <c r="H234" i="53"/>
  <c r="G47" i="53"/>
  <c r="G100" i="53"/>
  <c r="H235" i="53"/>
  <c r="G48" i="53"/>
  <c r="G101" i="53"/>
  <c r="H236" i="53"/>
  <c r="G49" i="53"/>
  <c r="G102" i="53"/>
  <c r="H237" i="53"/>
  <c r="G50" i="53"/>
  <c r="G103" i="53"/>
  <c r="H238" i="53"/>
  <c r="G54" i="53"/>
  <c r="G107" i="53"/>
  <c r="H239" i="53"/>
  <c r="G55" i="53"/>
  <c r="G108" i="53"/>
  <c r="H240" i="53"/>
  <c r="G56" i="53"/>
  <c r="G109" i="53"/>
  <c r="H241" i="53"/>
  <c r="G57" i="53"/>
  <c r="G110" i="53"/>
  <c r="H242" i="53"/>
  <c r="G51" i="53"/>
  <c r="G104" i="53"/>
  <c r="G52" i="53"/>
  <c r="G105" i="53"/>
  <c r="G53" i="53"/>
  <c r="G106" i="53"/>
  <c r="G114" i="53"/>
  <c r="H245" i="53"/>
  <c r="G115" i="53"/>
  <c r="H246" i="53"/>
  <c r="G116" i="53"/>
  <c r="H247" i="53"/>
  <c r="G118" i="53"/>
  <c r="H250" i="53"/>
  <c r="G119" i="53"/>
  <c r="H251" i="53"/>
  <c r="H205" i="53"/>
  <c r="H214" i="53"/>
  <c r="H243" i="53"/>
  <c r="I15" i="61"/>
  <c r="F9" i="53"/>
  <c r="F62" i="53"/>
  <c r="G197" i="53"/>
  <c r="F10" i="53"/>
  <c r="F63" i="53"/>
  <c r="G198" i="53"/>
  <c r="F11" i="53"/>
  <c r="F64" i="53"/>
  <c r="G199" i="53"/>
  <c r="F12" i="53"/>
  <c r="F65" i="53"/>
  <c r="G200" i="53"/>
  <c r="F13" i="53"/>
  <c r="F66" i="53"/>
  <c r="G201" i="53"/>
  <c r="F14" i="53"/>
  <c r="F67" i="53"/>
  <c r="G202" i="53"/>
  <c r="F15" i="53"/>
  <c r="F68" i="53"/>
  <c r="G203" i="53"/>
  <c r="F16" i="53"/>
  <c r="F69" i="53"/>
  <c r="G204" i="53"/>
  <c r="F18" i="53"/>
  <c r="F71" i="53"/>
  <c r="G206" i="53"/>
  <c r="F19" i="53"/>
  <c r="F72" i="53"/>
  <c r="G207" i="53"/>
  <c r="F20" i="53"/>
  <c r="F73" i="53"/>
  <c r="G208" i="53"/>
  <c r="F21" i="53"/>
  <c r="F74" i="53"/>
  <c r="G209" i="53"/>
  <c r="F22" i="53"/>
  <c r="F75" i="53"/>
  <c r="G210" i="53"/>
  <c r="F23" i="53"/>
  <c r="F76" i="53"/>
  <c r="G211" i="53"/>
  <c r="F24" i="53"/>
  <c r="F77" i="53"/>
  <c r="G212" i="53"/>
  <c r="F25" i="53"/>
  <c r="F78" i="53"/>
  <c r="G213" i="53"/>
  <c r="F27" i="53"/>
  <c r="F80" i="53"/>
  <c r="G215" i="53"/>
  <c r="F28" i="53"/>
  <c r="F81" i="53"/>
  <c r="G216" i="53"/>
  <c r="F29" i="53"/>
  <c r="F82" i="53"/>
  <c r="G217"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F51" i="53"/>
  <c r="F104" i="53"/>
  <c r="F52" i="53"/>
  <c r="F105" i="53"/>
  <c r="F53" i="53"/>
  <c r="F106" i="53"/>
  <c r="F114" i="53"/>
  <c r="G245" i="53"/>
  <c r="F115" i="53"/>
  <c r="G246" i="53"/>
  <c r="F116" i="53"/>
  <c r="G247" i="53"/>
  <c r="F118" i="53"/>
  <c r="G250" i="53"/>
  <c r="F119" i="53"/>
  <c r="G251" i="53"/>
  <c r="G205" i="53"/>
  <c r="G214" i="53"/>
  <c r="G243" i="53"/>
  <c r="H15" i="61"/>
  <c r="E9" i="53"/>
  <c r="E62" i="53"/>
  <c r="F197" i="53"/>
  <c r="E10" i="53"/>
  <c r="E63" i="53"/>
  <c r="F198" i="53"/>
  <c r="E11" i="53"/>
  <c r="E64" i="53"/>
  <c r="F199" i="53"/>
  <c r="E12" i="53"/>
  <c r="E65" i="53"/>
  <c r="F200" i="53"/>
  <c r="E13" i="53"/>
  <c r="E66" i="53"/>
  <c r="F201" i="53"/>
  <c r="E14" i="53"/>
  <c r="E67" i="53"/>
  <c r="F202" i="53"/>
  <c r="E15" i="53"/>
  <c r="E68" i="53"/>
  <c r="F203" i="53"/>
  <c r="E16" i="53"/>
  <c r="E69" i="53"/>
  <c r="F204" i="53"/>
  <c r="E18" i="53"/>
  <c r="E71" i="53"/>
  <c r="F206" i="53"/>
  <c r="E19" i="53"/>
  <c r="E72" i="53"/>
  <c r="F207" i="53"/>
  <c r="E20" i="53"/>
  <c r="E73" i="53"/>
  <c r="F208" i="53"/>
  <c r="E21" i="53"/>
  <c r="E74" i="53"/>
  <c r="F209" i="53"/>
  <c r="E22" i="53"/>
  <c r="E75" i="53"/>
  <c r="F210" i="53"/>
  <c r="E23" i="53"/>
  <c r="E76" i="53"/>
  <c r="F211" i="53"/>
  <c r="E24" i="53"/>
  <c r="E77" i="53"/>
  <c r="F212" i="53"/>
  <c r="E25" i="53"/>
  <c r="E78" i="53"/>
  <c r="F213" i="53"/>
  <c r="E27" i="53"/>
  <c r="E80" i="53"/>
  <c r="F215" i="53"/>
  <c r="E28" i="53"/>
  <c r="E81" i="53"/>
  <c r="F216" i="53"/>
  <c r="E29" i="53"/>
  <c r="E82" i="53"/>
  <c r="F217" i="53"/>
  <c r="E30" i="53"/>
  <c r="E83" i="53"/>
  <c r="F218" i="53"/>
  <c r="E31" i="53"/>
  <c r="E84" i="53"/>
  <c r="F219" i="53"/>
  <c r="E33" i="53"/>
  <c r="E86" i="53"/>
  <c r="F221" i="53"/>
  <c r="E34" i="53"/>
  <c r="E87" i="53"/>
  <c r="F222" i="53"/>
  <c r="E35" i="53"/>
  <c r="E88" i="53"/>
  <c r="F223" i="53"/>
  <c r="E36" i="53"/>
  <c r="E89" i="53"/>
  <c r="F224" i="53"/>
  <c r="E37" i="53"/>
  <c r="E90" i="53"/>
  <c r="F225" i="53"/>
  <c r="E38" i="53"/>
  <c r="E91" i="53"/>
  <c r="F226" i="53"/>
  <c r="E39" i="53"/>
  <c r="E92" i="53"/>
  <c r="F227" i="53"/>
  <c r="E40" i="53"/>
  <c r="E93" i="53"/>
  <c r="F228" i="53"/>
  <c r="E41" i="53"/>
  <c r="E94" i="53"/>
  <c r="F229" i="53"/>
  <c r="E42" i="53"/>
  <c r="E95" i="53"/>
  <c r="F230" i="53"/>
  <c r="E43" i="53"/>
  <c r="E96" i="53"/>
  <c r="F231" i="53"/>
  <c r="E44" i="53"/>
  <c r="E97" i="53"/>
  <c r="F232" i="53"/>
  <c r="E45" i="53"/>
  <c r="E98" i="53"/>
  <c r="F233" i="53"/>
  <c r="E46" i="53"/>
  <c r="E99" i="53"/>
  <c r="F234" i="53"/>
  <c r="E47" i="53"/>
  <c r="E100" i="53"/>
  <c r="F235" i="53"/>
  <c r="E48" i="53"/>
  <c r="E101" i="53"/>
  <c r="F236" i="53"/>
  <c r="E49" i="53"/>
  <c r="E102" i="53"/>
  <c r="F237" i="53"/>
  <c r="E50" i="53"/>
  <c r="E103" i="53"/>
  <c r="F238" i="53"/>
  <c r="E54" i="53"/>
  <c r="E107" i="53"/>
  <c r="F239" i="53"/>
  <c r="E55" i="53"/>
  <c r="E108" i="53"/>
  <c r="F240" i="53"/>
  <c r="E56" i="53"/>
  <c r="E109" i="53"/>
  <c r="F241" i="53"/>
  <c r="E57" i="53"/>
  <c r="E110" i="53"/>
  <c r="F242" i="53"/>
  <c r="E51" i="53"/>
  <c r="E104" i="53"/>
  <c r="E52" i="53"/>
  <c r="E105" i="53"/>
  <c r="E53" i="53"/>
  <c r="E106" i="53"/>
  <c r="E114" i="53"/>
  <c r="F245" i="53"/>
  <c r="E115" i="53"/>
  <c r="F246" i="53"/>
  <c r="E116" i="53"/>
  <c r="F247" i="53"/>
  <c r="E118" i="53"/>
  <c r="F250" i="53"/>
  <c r="E119" i="53"/>
  <c r="F251" i="53"/>
  <c r="F205" i="53"/>
  <c r="F214" i="53"/>
  <c r="F243" i="53"/>
  <c r="G15" i="61"/>
  <c r="D9" i="53"/>
  <c r="D62" i="53"/>
  <c r="E197" i="53"/>
  <c r="D10" i="53"/>
  <c r="D63" i="53"/>
  <c r="E198" i="53"/>
  <c r="D11" i="53"/>
  <c r="D64" i="53"/>
  <c r="E199" i="53"/>
  <c r="D12" i="53"/>
  <c r="D65" i="53"/>
  <c r="E200" i="53"/>
  <c r="D13" i="53"/>
  <c r="D66" i="53"/>
  <c r="E201" i="53"/>
  <c r="D14" i="53"/>
  <c r="D67" i="53"/>
  <c r="E202" i="53"/>
  <c r="D15" i="53"/>
  <c r="D68" i="53"/>
  <c r="E203" i="53"/>
  <c r="D16" i="53"/>
  <c r="D69" i="53"/>
  <c r="E204" i="53"/>
  <c r="D18" i="53"/>
  <c r="D71" i="53"/>
  <c r="E206" i="53"/>
  <c r="D19" i="53"/>
  <c r="D72" i="53"/>
  <c r="E207" i="53"/>
  <c r="D20" i="53"/>
  <c r="D73" i="53"/>
  <c r="E208" i="53"/>
  <c r="D21" i="53"/>
  <c r="D74" i="53"/>
  <c r="E209" i="53"/>
  <c r="D22" i="53"/>
  <c r="D75" i="53"/>
  <c r="E210" i="53"/>
  <c r="D23" i="53"/>
  <c r="D76" i="53"/>
  <c r="E211" i="53"/>
  <c r="D24" i="53"/>
  <c r="D77" i="53"/>
  <c r="E212" i="53"/>
  <c r="D25" i="53"/>
  <c r="D78" i="53"/>
  <c r="E213" i="53"/>
  <c r="D27" i="53"/>
  <c r="D80" i="53"/>
  <c r="E215" i="53"/>
  <c r="D28" i="53"/>
  <c r="D81" i="53"/>
  <c r="E216" i="53"/>
  <c r="D29" i="53"/>
  <c r="D82" i="53"/>
  <c r="E217" i="53"/>
  <c r="D30" i="53"/>
  <c r="D83" i="53"/>
  <c r="E218" i="53"/>
  <c r="D31" i="53"/>
  <c r="D84" i="53"/>
  <c r="E219" i="53"/>
  <c r="D33" i="53"/>
  <c r="D86" i="53"/>
  <c r="E221" i="53"/>
  <c r="D34" i="53"/>
  <c r="D87" i="53"/>
  <c r="E222" i="53"/>
  <c r="D35" i="53"/>
  <c r="D88" i="53"/>
  <c r="E223" i="53"/>
  <c r="D36" i="53"/>
  <c r="D89" i="53"/>
  <c r="E224" i="53"/>
  <c r="D37" i="53"/>
  <c r="D90" i="53"/>
  <c r="E225" i="53"/>
  <c r="D38" i="53"/>
  <c r="D91" i="53"/>
  <c r="E226" i="53"/>
  <c r="D39" i="53"/>
  <c r="D92" i="53"/>
  <c r="E227" i="53"/>
  <c r="D40" i="53"/>
  <c r="D93" i="53"/>
  <c r="E228" i="53"/>
  <c r="D41" i="53"/>
  <c r="D94" i="53"/>
  <c r="E229" i="53"/>
  <c r="D42" i="53"/>
  <c r="D95" i="53"/>
  <c r="E230" i="53"/>
  <c r="D43" i="53"/>
  <c r="D96" i="53"/>
  <c r="E231" i="53"/>
  <c r="D44" i="53"/>
  <c r="D97" i="53"/>
  <c r="E232" i="53"/>
  <c r="D45" i="53"/>
  <c r="D98" i="53"/>
  <c r="E233" i="53"/>
  <c r="D46" i="53"/>
  <c r="D99" i="53"/>
  <c r="E234" i="53"/>
  <c r="D47" i="53"/>
  <c r="D100" i="53"/>
  <c r="E235" i="53"/>
  <c r="D48" i="53"/>
  <c r="D101" i="53"/>
  <c r="E236" i="53"/>
  <c r="D49" i="53"/>
  <c r="D102" i="53"/>
  <c r="E237" i="53"/>
  <c r="D50" i="53"/>
  <c r="D103" i="53"/>
  <c r="E238" i="53"/>
  <c r="D54" i="53"/>
  <c r="D107" i="53"/>
  <c r="E239" i="53"/>
  <c r="D55" i="53"/>
  <c r="D108" i="53"/>
  <c r="E240" i="53"/>
  <c r="D56" i="53"/>
  <c r="D109" i="53"/>
  <c r="E241" i="53"/>
  <c r="D57" i="53"/>
  <c r="D110" i="53"/>
  <c r="E242" i="53"/>
  <c r="D51" i="53"/>
  <c r="D104" i="53"/>
  <c r="D52" i="53"/>
  <c r="D105" i="53"/>
  <c r="D53" i="53"/>
  <c r="D106" i="53"/>
  <c r="D114" i="53"/>
  <c r="E245" i="53"/>
  <c r="D115" i="53"/>
  <c r="E246" i="53"/>
  <c r="D116" i="53"/>
  <c r="E247" i="53"/>
  <c r="D118" i="53"/>
  <c r="E250" i="53"/>
  <c r="D119" i="53"/>
  <c r="E251" i="53"/>
  <c r="E205" i="53"/>
  <c r="E214" i="53"/>
  <c r="E243" i="53"/>
  <c r="F15" i="61"/>
  <c r="K6" i="61"/>
  <c r="J259" i="53"/>
  <c r="J260" i="53"/>
  <c r="J253" i="53"/>
  <c r="J254" i="53"/>
  <c r="J262" i="53"/>
  <c r="H22" i="21"/>
  <c r="J161" i="72"/>
  <c r="J169" i="84"/>
  <c r="J285" i="55"/>
  <c r="F23" i="48"/>
  <c r="G23" i="48"/>
  <c r="H23" i="48"/>
  <c r="I23" i="48"/>
  <c r="J23" i="48"/>
  <c r="K23" i="48"/>
  <c r="K43" i="48"/>
  <c r="K44" i="48"/>
  <c r="K49" i="48"/>
  <c r="H21" i="21"/>
  <c r="E17" i="42"/>
  <c r="F17" i="42"/>
  <c r="G17" i="42"/>
  <c r="H17" i="42"/>
  <c r="I17" i="42"/>
  <c r="J17" i="42"/>
  <c r="J27" i="42"/>
  <c r="J28" i="42"/>
  <c r="J29" i="42"/>
  <c r="J34" i="42"/>
  <c r="H20" i="21"/>
  <c r="J6" i="61"/>
  <c r="I259" i="53"/>
  <c r="I260" i="53"/>
  <c r="I253" i="53"/>
  <c r="I254" i="53"/>
  <c r="I262" i="53"/>
  <c r="G22" i="21"/>
  <c r="I161" i="72"/>
  <c r="I169" i="84"/>
  <c r="I285" i="55"/>
  <c r="J43" i="48"/>
  <c r="J44" i="48"/>
  <c r="J49" i="48"/>
  <c r="G21" i="21"/>
  <c r="I27" i="42"/>
  <c r="I28" i="42"/>
  <c r="I29" i="42"/>
  <c r="I34" i="42"/>
  <c r="G20" i="21"/>
  <c r="I6" i="61"/>
  <c r="H259" i="53"/>
  <c r="H260" i="53"/>
  <c r="H253" i="53"/>
  <c r="H254" i="53"/>
  <c r="H262" i="53"/>
  <c r="F22" i="21"/>
  <c r="H161" i="72"/>
  <c r="H169" i="84"/>
  <c r="H285" i="55"/>
  <c r="I43" i="48"/>
  <c r="I44" i="48"/>
  <c r="I49" i="48"/>
  <c r="F21" i="21"/>
  <c r="H27" i="42"/>
  <c r="H28" i="42"/>
  <c r="H29" i="42"/>
  <c r="H34" i="42"/>
  <c r="F20" i="21"/>
  <c r="H6" i="61"/>
  <c r="G259" i="53"/>
  <c r="G260" i="53"/>
  <c r="G253" i="53"/>
  <c r="G254" i="53"/>
  <c r="G262" i="53"/>
  <c r="E22" i="21"/>
  <c r="G161" i="72"/>
  <c r="G169" i="84"/>
  <c r="G285" i="55"/>
  <c r="H43" i="48"/>
  <c r="H44" i="48"/>
  <c r="H49" i="48"/>
  <c r="E21" i="21"/>
  <c r="G27" i="42"/>
  <c r="G28" i="42"/>
  <c r="G29" i="42"/>
  <c r="G34" i="42"/>
  <c r="E20" i="21"/>
  <c r="G6" i="61"/>
  <c r="F259" i="53"/>
  <c r="F260" i="53"/>
  <c r="F253" i="53"/>
  <c r="F254" i="53"/>
  <c r="F262" i="53"/>
  <c r="D22" i="21"/>
  <c r="F161" i="72"/>
  <c r="F169" i="84"/>
  <c r="F285" i="55"/>
  <c r="G43" i="48"/>
  <c r="G44" i="48"/>
  <c r="G49" i="48"/>
  <c r="D21" i="21"/>
  <c r="F27" i="42"/>
  <c r="F28" i="42"/>
  <c r="F29" i="42"/>
  <c r="F34" i="42"/>
  <c r="D20" i="21"/>
  <c r="F6" i="61"/>
  <c r="E259" i="53"/>
  <c r="E260" i="53"/>
  <c r="E253" i="53"/>
  <c r="E254" i="53"/>
  <c r="E262" i="53"/>
  <c r="C22" i="21"/>
  <c r="E161" i="72"/>
  <c r="E169" i="84"/>
  <c r="E285" i="55"/>
  <c r="F43" i="48"/>
  <c r="F44" i="48"/>
  <c r="F49" i="48"/>
  <c r="C21" i="21"/>
  <c r="E27" i="42"/>
  <c r="E28" i="42"/>
  <c r="E29" i="42"/>
  <c r="E34" i="42"/>
  <c r="C20" i="21"/>
  <c r="F47" i="61"/>
  <c r="F48" i="61"/>
  <c r="F51" i="61"/>
  <c r="G47" i="61"/>
  <c r="G48" i="61"/>
  <c r="G51" i="61"/>
  <c r="H47" i="61"/>
  <c r="H48" i="61"/>
  <c r="H51" i="61"/>
  <c r="I47" i="61"/>
  <c r="I48" i="61"/>
  <c r="I51" i="61"/>
  <c r="J47" i="61"/>
  <c r="J48" i="61"/>
  <c r="J51" i="61"/>
  <c r="K47" i="61"/>
  <c r="K48" i="61"/>
  <c r="K51" i="61"/>
  <c r="E178" i="55"/>
  <c r="E179" i="55"/>
  <c r="E180" i="55"/>
  <c r="E181" i="55"/>
  <c r="E182" i="55"/>
  <c r="E183" i="55"/>
  <c r="E184" i="55"/>
  <c r="E185" i="55"/>
  <c r="E186" i="55"/>
  <c r="E187" i="55"/>
  <c r="E188" i="55"/>
  <c r="E189" i="55"/>
  <c r="E190" i="55"/>
  <c r="E191" i="55"/>
  <c r="E192" i="55"/>
  <c r="E193" i="55"/>
  <c r="E194" i="55"/>
  <c r="E195" i="55"/>
  <c r="E196" i="55"/>
  <c r="E197" i="55"/>
  <c r="E198" i="55"/>
  <c r="E199" i="55"/>
  <c r="C65" i="55"/>
  <c r="E200" i="55"/>
  <c r="C144" i="55"/>
  <c r="E203" i="55"/>
  <c r="C145" i="55"/>
  <c r="E204" i="55"/>
  <c r="C146" i="55"/>
  <c r="E205" i="55"/>
  <c r="C147" i="55"/>
  <c r="E206" i="55"/>
  <c r="C148" i="55"/>
  <c r="E207" i="55"/>
  <c r="C149" i="55"/>
  <c r="E208" i="55"/>
  <c r="C150" i="55"/>
  <c r="E209" i="55"/>
  <c r="C151" i="55"/>
  <c r="E210" i="55"/>
  <c r="C152" i="55"/>
  <c r="E211" i="55"/>
  <c r="C153" i="55"/>
  <c r="E212" i="55"/>
  <c r="C154" i="55"/>
  <c r="E213" i="55"/>
  <c r="C155" i="55"/>
  <c r="E214" i="55"/>
  <c r="C156" i="55"/>
  <c r="E215" i="55"/>
  <c r="C157" i="55"/>
  <c r="E216" i="55"/>
  <c r="C158" i="55"/>
  <c r="E217" i="55"/>
  <c r="C159" i="55"/>
  <c r="E218" i="55"/>
  <c r="C160" i="55"/>
  <c r="E219" i="55"/>
  <c r="C161" i="55"/>
  <c r="E220" i="55"/>
  <c r="C162" i="55"/>
  <c r="E221" i="55"/>
  <c r="C163" i="55"/>
  <c r="E222" i="55"/>
  <c r="C164" i="55"/>
  <c r="E223" i="55"/>
  <c r="C165" i="55"/>
  <c r="E224" i="55"/>
  <c r="C166" i="55"/>
  <c r="E225" i="55"/>
  <c r="C167" i="55"/>
  <c r="E226" i="55"/>
  <c r="C168" i="55"/>
  <c r="E227" i="55"/>
  <c r="E229" i="55"/>
  <c r="F36" i="61"/>
  <c r="F28" i="48"/>
  <c r="F29" i="48"/>
  <c r="F30" i="48"/>
  <c r="F31" i="48"/>
  <c r="F32" i="48"/>
  <c r="F33" i="48"/>
  <c r="F34" i="48"/>
  <c r="F35" i="48"/>
  <c r="F36" i="48"/>
  <c r="F37" i="48"/>
  <c r="F38" i="48"/>
  <c r="F39" i="48"/>
  <c r="F35" i="61"/>
  <c r="E130" i="53"/>
  <c r="E131" i="53"/>
  <c r="E132" i="53"/>
  <c r="E133" i="53"/>
  <c r="E134" i="53"/>
  <c r="E135" i="53"/>
  <c r="E136" i="53"/>
  <c r="E137" i="53"/>
  <c r="E139" i="53"/>
  <c r="E140" i="53"/>
  <c r="E141"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82" i="53"/>
  <c r="E183" i="53"/>
  <c r="E184" i="53"/>
  <c r="E187" i="53"/>
  <c r="E188" i="53"/>
  <c r="E191" i="53"/>
  <c r="F34" i="61"/>
  <c r="E139" i="72"/>
  <c r="E140" i="72"/>
  <c r="E141" i="72"/>
  <c r="C70" i="72"/>
  <c r="E142" i="72"/>
  <c r="E146" i="72"/>
  <c r="E148" i="72"/>
  <c r="F37" i="61"/>
  <c r="E154" i="84"/>
  <c r="E155" i="84"/>
  <c r="E156" i="84"/>
  <c r="E159" i="84"/>
  <c r="F39" i="61"/>
  <c r="C9" i="42"/>
  <c r="C10" i="42"/>
  <c r="E21" i="42"/>
  <c r="E23" i="42"/>
  <c r="F38" i="61"/>
  <c r="F41" i="61"/>
  <c r="F178" i="55"/>
  <c r="F179" i="55"/>
  <c r="F180" i="55"/>
  <c r="F181" i="55"/>
  <c r="F182" i="55"/>
  <c r="F183" i="55"/>
  <c r="F184" i="55"/>
  <c r="F185" i="55"/>
  <c r="F186" i="55"/>
  <c r="F187" i="55"/>
  <c r="F188" i="55"/>
  <c r="F189" i="55"/>
  <c r="F190" i="55"/>
  <c r="F191" i="55"/>
  <c r="F192" i="55"/>
  <c r="F193" i="55"/>
  <c r="F194" i="55"/>
  <c r="F195" i="55"/>
  <c r="F196" i="55"/>
  <c r="F197" i="55"/>
  <c r="F198" i="55"/>
  <c r="F199" i="55"/>
  <c r="D65" i="55"/>
  <c r="F200" i="55"/>
  <c r="D144" i="55"/>
  <c r="F203" i="55"/>
  <c r="D145" i="55"/>
  <c r="F204" i="55"/>
  <c r="D146" i="55"/>
  <c r="F205" i="55"/>
  <c r="D147" i="55"/>
  <c r="F206" i="55"/>
  <c r="D148" i="55"/>
  <c r="F207" i="55"/>
  <c r="D149" i="55"/>
  <c r="F208" i="55"/>
  <c r="D150" i="55"/>
  <c r="F209" i="55"/>
  <c r="D151" i="55"/>
  <c r="F210" i="55"/>
  <c r="D152" i="55"/>
  <c r="F211" i="55"/>
  <c r="D153" i="55"/>
  <c r="F212" i="55"/>
  <c r="D154" i="55"/>
  <c r="F213" i="55"/>
  <c r="D155" i="55"/>
  <c r="F214" i="55"/>
  <c r="D156" i="55"/>
  <c r="F215" i="55"/>
  <c r="D157" i="55"/>
  <c r="F216" i="55"/>
  <c r="D158" i="55"/>
  <c r="F217" i="55"/>
  <c r="D159" i="55"/>
  <c r="F218" i="55"/>
  <c r="D160" i="55"/>
  <c r="F219" i="55"/>
  <c r="D161" i="55"/>
  <c r="F220" i="55"/>
  <c r="D162" i="55"/>
  <c r="F221" i="55"/>
  <c r="D163" i="55"/>
  <c r="F222" i="55"/>
  <c r="D164" i="55"/>
  <c r="F223" i="55"/>
  <c r="D165" i="55"/>
  <c r="F224" i="55"/>
  <c r="D166" i="55"/>
  <c r="F225" i="55"/>
  <c r="D167" i="55"/>
  <c r="F226" i="55"/>
  <c r="D168" i="55"/>
  <c r="F227" i="55"/>
  <c r="F229" i="55"/>
  <c r="G36" i="61"/>
  <c r="G28" i="48"/>
  <c r="G29" i="48"/>
  <c r="G30" i="48"/>
  <c r="G31" i="48"/>
  <c r="G32" i="48"/>
  <c r="G33" i="48"/>
  <c r="G34" i="48"/>
  <c r="G35" i="48"/>
  <c r="G36" i="48"/>
  <c r="G37" i="48"/>
  <c r="G38" i="48"/>
  <c r="G39" i="48"/>
  <c r="G35" i="61"/>
  <c r="F130" i="53"/>
  <c r="F131" i="53"/>
  <c r="F132" i="53"/>
  <c r="F133" i="53"/>
  <c r="F134" i="53"/>
  <c r="F135" i="53"/>
  <c r="F136" i="53"/>
  <c r="F137" i="53"/>
  <c r="F139" i="53"/>
  <c r="F140" i="53"/>
  <c r="F141" i="53"/>
  <c r="F142" i="53"/>
  <c r="F143" i="53"/>
  <c r="F144" i="53"/>
  <c r="F145" i="53"/>
  <c r="F146" i="53"/>
  <c r="F148" i="53"/>
  <c r="F149" i="53"/>
  <c r="F150" i="53"/>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82" i="53"/>
  <c r="F183" i="53"/>
  <c r="F184" i="53"/>
  <c r="F187" i="53"/>
  <c r="F188" i="53"/>
  <c r="F191" i="53"/>
  <c r="G34" i="61"/>
  <c r="F139" i="72"/>
  <c r="F140" i="72"/>
  <c r="F141" i="72"/>
  <c r="D70" i="72"/>
  <c r="F142" i="72"/>
  <c r="F146" i="72"/>
  <c r="F148" i="72"/>
  <c r="G37" i="61"/>
  <c r="F154" i="84"/>
  <c r="F155" i="84"/>
  <c r="F156" i="84"/>
  <c r="F159" i="84"/>
  <c r="G39" i="61"/>
  <c r="D9" i="42"/>
  <c r="D10" i="42"/>
  <c r="F21" i="42"/>
  <c r="F23" i="42"/>
  <c r="G38" i="61"/>
  <c r="G41" i="61"/>
  <c r="G178" i="55"/>
  <c r="G179" i="55"/>
  <c r="G180" i="55"/>
  <c r="G181" i="55"/>
  <c r="G182" i="55"/>
  <c r="G183" i="55"/>
  <c r="G184" i="55"/>
  <c r="G185" i="55"/>
  <c r="G186" i="55"/>
  <c r="G187" i="55"/>
  <c r="G188" i="55"/>
  <c r="G189" i="55"/>
  <c r="G190" i="55"/>
  <c r="G191" i="55"/>
  <c r="G192" i="55"/>
  <c r="G193" i="55"/>
  <c r="G194" i="55"/>
  <c r="G195" i="55"/>
  <c r="G196" i="55"/>
  <c r="G197" i="55"/>
  <c r="G198" i="55"/>
  <c r="G199" i="55"/>
  <c r="E65" i="55"/>
  <c r="G200" i="55"/>
  <c r="E144" i="55"/>
  <c r="G203" i="55"/>
  <c r="E145" i="55"/>
  <c r="G204" i="55"/>
  <c r="E146" i="55"/>
  <c r="G205" i="55"/>
  <c r="E147" i="55"/>
  <c r="G206" i="55"/>
  <c r="E148" i="55"/>
  <c r="G207" i="55"/>
  <c r="E149" i="55"/>
  <c r="G208" i="55"/>
  <c r="E150" i="55"/>
  <c r="G209" i="55"/>
  <c r="E151" i="55"/>
  <c r="G210" i="55"/>
  <c r="E152" i="55"/>
  <c r="G211" i="55"/>
  <c r="E153" i="55"/>
  <c r="G212" i="55"/>
  <c r="E154" i="55"/>
  <c r="G213" i="55"/>
  <c r="E155" i="55"/>
  <c r="G214" i="55"/>
  <c r="E156" i="55"/>
  <c r="G215" i="55"/>
  <c r="E157" i="55"/>
  <c r="G216" i="55"/>
  <c r="E158" i="55"/>
  <c r="G217" i="55"/>
  <c r="E159" i="55"/>
  <c r="G218" i="55"/>
  <c r="E160" i="55"/>
  <c r="G219" i="55"/>
  <c r="E161" i="55"/>
  <c r="G220" i="55"/>
  <c r="E162" i="55"/>
  <c r="G221" i="55"/>
  <c r="E163" i="55"/>
  <c r="G222" i="55"/>
  <c r="E164" i="55"/>
  <c r="G223" i="55"/>
  <c r="E165" i="55"/>
  <c r="G224" i="55"/>
  <c r="E166" i="55"/>
  <c r="G225" i="55"/>
  <c r="E167" i="55"/>
  <c r="G226" i="55"/>
  <c r="E168" i="55"/>
  <c r="G227" i="55"/>
  <c r="G229" i="55"/>
  <c r="H36" i="61"/>
  <c r="H28" i="48"/>
  <c r="H29" i="48"/>
  <c r="H30" i="48"/>
  <c r="H31" i="48"/>
  <c r="H32" i="48"/>
  <c r="H33" i="48"/>
  <c r="H34" i="48"/>
  <c r="H35" i="48"/>
  <c r="H36" i="48"/>
  <c r="H37" i="48"/>
  <c r="H38" i="48"/>
  <c r="H39" i="48"/>
  <c r="H35" i="61"/>
  <c r="G130" i="53"/>
  <c r="G131" i="53"/>
  <c r="G132" i="53"/>
  <c r="G133" i="53"/>
  <c r="G134" i="53"/>
  <c r="G135" i="53"/>
  <c r="G136" i="53"/>
  <c r="G137" i="53"/>
  <c r="G139" i="53"/>
  <c r="G140" i="53"/>
  <c r="G141" i="53"/>
  <c r="G142" i="53"/>
  <c r="G143" i="53"/>
  <c r="G144" i="53"/>
  <c r="G145" i="53"/>
  <c r="G146" i="53"/>
  <c r="G148" i="53"/>
  <c r="G149" i="53"/>
  <c r="G150" i="53"/>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82" i="53"/>
  <c r="G183" i="53"/>
  <c r="G184" i="53"/>
  <c r="G187" i="53"/>
  <c r="G188" i="53"/>
  <c r="G191" i="53"/>
  <c r="H34" i="61"/>
  <c r="G139" i="72"/>
  <c r="G140" i="72"/>
  <c r="G141" i="72"/>
  <c r="E70" i="72"/>
  <c r="G142" i="72"/>
  <c r="G146" i="72"/>
  <c r="G148" i="72"/>
  <c r="H37" i="61"/>
  <c r="G154" i="84"/>
  <c r="G155" i="84"/>
  <c r="G156" i="84"/>
  <c r="G159" i="84"/>
  <c r="H39" i="61"/>
  <c r="E9" i="42"/>
  <c r="E10" i="42"/>
  <c r="G21" i="42"/>
  <c r="G23" i="42"/>
  <c r="H38" i="61"/>
  <c r="H41" i="61"/>
  <c r="H178" i="55"/>
  <c r="H179" i="55"/>
  <c r="H180" i="55"/>
  <c r="H181" i="55"/>
  <c r="H182" i="55"/>
  <c r="H183" i="55"/>
  <c r="H184" i="55"/>
  <c r="H185" i="55"/>
  <c r="H186" i="55"/>
  <c r="H187" i="55"/>
  <c r="H188" i="55"/>
  <c r="H189" i="55"/>
  <c r="H190" i="55"/>
  <c r="H191" i="55"/>
  <c r="H192" i="55"/>
  <c r="H193" i="55"/>
  <c r="H194" i="55"/>
  <c r="H195" i="55"/>
  <c r="H196" i="55"/>
  <c r="H197" i="55"/>
  <c r="H198" i="55"/>
  <c r="H199" i="55"/>
  <c r="F65" i="55"/>
  <c r="H200" i="55"/>
  <c r="F144" i="55"/>
  <c r="H203" i="55"/>
  <c r="F145" i="55"/>
  <c r="H204" i="55"/>
  <c r="F146" i="55"/>
  <c r="H205" i="55"/>
  <c r="F147" i="55"/>
  <c r="H206" i="55"/>
  <c r="F148" i="55"/>
  <c r="H207" i="55"/>
  <c r="F149" i="55"/>
  <c r="H208" i="55"/>
  <c r="F150" i="55"/>
  <c r="H209" i="55"/>
  <c r="F151" i="55"/>
  <c r="H210" i="55"/>
  <c r="F152" i="55"/>
  <c r="H211" i="55"/>
  <c r="F153" i="55"/>
  <c r="H212" i="55"/>
  <c r="F154" i="55"/>
  <c r="H213" i="55"/>
  <c r="F155" i="55"/>
  <c r="H214" i="55"/>
  <c r="F156" i="55"/>
  <c r="H215" i="55"/>
  <c r="F157" i="55"/>
  <c r="H216" i="55"/>
  <c r="F158" i="55"/>
  <c r="H217" i="55"/>
  <c r="F159" i="55"/>
  <c r="H218" i="55"/>
  <c r="F160" i="55"/>
  <c r="H219" i="55"/>
  <c r="F161" i="55"/>
  <c r="H220" i="55"/>
  <c r="F162" i="55"/>
  <c r="H221" i="55"/>
  <c r="F163" i="55"/>
  <c r="H222" i="55"/>
  <c r="F164" i="55"/>
  <c r="H223" i="55"/>
  <c r="F165" i="55"/>
  <c r="H224" i="55"/>
  <c r="F166" i="55"/>
  <c r="H225" i="55"/>
  <c r="F167" i="55"/>
  <c r="H226" i="55"/>
  <c r="F168" i="55"/>
  <c r="H227" i="55"/>
  <c r="H229" i="55"/>
  <c r="I36" i="61"/>
  <c r="I28" i="48"/>
  <c r="I29" i="48"/>
  <c r="I30" i="48"/>
  <c r="I31" i="48"/>
  <c r="I32" i="48"/>
  <c r="I33" i="48"/>
  <c r="I34" i="48"/>
  <c r="I35" i="48"/>
  <c r="I36" i="48"/>
  <c r="I37" i="48"/>
  <c r="I38" i="48"/>
  <c r="I39" i="48"/>
  <c r="I35" i="61"/>
  <c r="H130" i="53"/>
  <c r="H131" i="53"/>
  <c r="H132" i="53"/>
  <c r="H133" i="53"/>
  <c r="H134" i="53"/>
  <c r="H135" i="53"/>
  <c r="H136" i="53"/>
  <c r="H137" i="53"/>
  <c r="H139" i="53"/>
  <c r="H140" i="53"/>
  <c r="H141"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82" i="53"/>
  <c r="H183" i="53"/>
  <c r="H184" i="53"/>
  <c r="H187" i="53"/>
  <c r="H188" i="53"/>
  <c r="H191" i="53"/>
  <c r="I34" i="61"/>
  <c r="H139" i="72"/>
  <c r="H140" i="72"/>
  <c r="H141" i="72"/>
  <c r="F70" i="72"/>
  <c r="H142" i="72"/>
  <c r="H146" i="72"/>
  <c r="H148" i="72"/>
  <c r="I37" i="61"/>
  <c r="H154" i="84"/>
  <c r="H155" i="84"/>
  <c r="H156" i="84"/>
  <c r="H159" i="84"/>
  <c r="I39" i="61"/>
  <c r="F9" i="42"/>
  <c r="F10" i="42"/>
  <c r="H21" i="42"/>
  <c r="H23" i="42"/>
  <c r="I38" i="61"/>
  <c r="I41" i="61"/>
  <c r="I178" i="55"/>
  <c r="I179" i="55"/>
  <c r="I180" i="55"/>
  <c r="I181" i="55"/>
  <c r="I182" i="55"/>
  <c r="I183" i="55"/>
  <c r="I184" i="55"/>
  <c r="I185" i="55"/>
  <c r="I186" i="55"/>
  <c r="I187" i="55"/>
  <c r="I188" i="55"/>
  <c r="I189" i="55"/>
  <c r="I190" i="55"/>
  <c r="I191" i="55"/>
  <c r="I192" i="55"/>
  <c r="I193" i="55"/>
  <c r="I194" i="55"/>
  <c r="I195" i="55"/>
  <c r="I196" i="55"/>
  <c r="I197" i="55"/>
  <c r="I198" i="55"/>
  <c r="I199" i="55"/>
  <c r="G65" i="55"/>
  <c r="I200" i="55"/>
  <c r="G144" i="55"/>
  <c r="I203" i="55"/>
  <c r="G145" i="55"/>
  <c r="I204" i="55"/>
  <c r="G146" i="55"/>
  <c r="I205" i="55"/>
  <c r="G147" i="55"/>
  <c r="I206" i="55"/>
  <c r="G148" i="55"/>
  <c r="I207" i="55"/>
  <c r="G149" i="55"/>
  <c r="I208" i="55"/>
  <c r="G150" i="55"/>
  <c r="I209" i="55"/>
  <c r="G151" i="55"/>
  <c r="I210" i="55"/>
  <c r="G152" i="55"/>
  <c r="I211" i="55"/>
  <c r="G153" i="55"/>
  <c r="I212" i="55"/>
  <c r="G154" i="55"/>
  <c r="I213" i="55"/>
  <c r="G155" i="55"/>
  <c r="I214" i="55"/>
  <c r="G156" i="55"/>
  <c r="I215" i="55"/>
  <c r="G157" i="55"/>
  <c r="I216" i="55"/>
  <c r="G158" i="55"/>
  <c r="I217" i="55"/>
  <c r="G159" i="55"/>
  <c r="I218" i="55"/>
  <c r="G160" i="55"/>
  <c r="I219" i="55"/>
  <c r="G161" i="55"/>
  <c r="I220" i="55"/>
  <c r="G162" i="55"/>
  <c r="I221" i="55"/>
  <c r="G163" i="55"/>
  <c r="I222" i="55"/>
  <c r="G164" i="55"/>
  <c r="I223" i="55"/>
  <c r="G165" i="55"/>
  <c r="I224" i="55"/>
  <c r="G166" i="55"/>
  <c r="I225" i="55"/>
  <c r="G167" i="55"/>
  <c r="I226" i="55"/>
  <c r="G168" i="55"/>
  <c r="I227" i="55"/>
  <c r="I229" i="55"/>
  <c r="J36" i="61"/>
  <c r="J28" i="48"/>
  <c r="J29" i="48"/>
  <c r="J30" i="48"/>
  <c r="J31" i="48"/>
  <c r="J32" i="48"/>
  <c r="J33" i="48"/>
  <c r="J34" i="48"/>
  <c r="J35" i="48"/>
  <c r="J36" i="48"/>
  <c r="J37" i="48"/>
  <c r="J38" i="48"/>
  <c r="J39" i="48"/>
  <c r="J35" i="61"/>
  <c r="I130" i="53"/>
  <c r="I131" i="53"/>
  <c r="I132" i="53"/>
  <c r="I133" i="53"/>
  <c r="I134" i="53"/>
  <c r="I135" i="53"/>
  <c r="I136" i="53"/>
  <c r="I137" i="53"/>
  <c r="I139" i="53"/>
  <c r="I140" i="53"/>
  <c r="I141" i="53"/>
  <c r="I142" i="53"/>
  <c r="I143" i="53"/>
  <c r="I144" i="53"/>
  <c r="I145" i="53"/>
  <c r="I146" i="53"/>
  <c r="I148" i="53"/>
  <c r="I149" i="53"/>
  <c r="I150" i="53"/>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82" i="53"/>
  <c r="I183" i="53"/>
  <c r="I184" i="53"/>
  <c r="I187" i="53"/>
  <c r="I188" i="53"/>
  <c r="I191" i="53"/>
  <c r="J34" i="61"/>
  <c r="I139" i="72"/>
  <c r="I140" i="72"/>
  <c r="I141" i="72"/>
  <c r="G70" i="72"/>
  <c r="I142" i="72"/>
  <c r="I146" i="72"/>
  <c r="I148" i="72"/>
  <c r="J37" i="61"/>
  <c r="I154" i="84"/>
  <c r="I155" i="84"/>
  <c r="I156" i="84"/>
  <c r="I159" i="84"/>
  <c r="J39" i="61"/>
  <c r="G9" i="42"/>
  <c r="G10" i="42"/>
  <c r="I21" i="42"/>
  <c r="I23" i="42"/>
  <c r="J38" i="61"/>
  <c r="J41" i="61"/>
  <c r="J178" i="55"/>
  <c r="J179" i="55"/>
  <c r="J180" i="55"/>
  <c r="J181" i="55"/>
  <c r="J182" i="55"/>
  <c r="J183" i="55"/>
  <c r="J184" i="55"/>
  <c r="J185" i="55"/>
  <c r="J186" i="55"/>
  <c r="J187" i="55"/>
  <c r="J188" i="55"/>
  <c r="J189" i="55"/>
  <c r="J190" i="55"/>
  <c r="J191" i="55"/>
  <c r="J192" i="55"/>
  <c r="J193" i="55"/>
  <c r="J194" i="55"/>
  <c r="J195" i="55"/>
  <c r="J196" i="55"/>
  <c r="J197" i="55"/>
  <c r="J198" i="55"/>
  <c r="J199" i="55"/>
  <c r="H65" i="55"/>
  <c r="J200" i="55"/>
  <c r="H144" i="55"/>
  <c r="J203" i="55"/>
  <c r="H145" i="55"/>
  <c r="J204" i="55"/>
  <c r="H146" i="55"/>
  <c r="J205" i="55"/>
  <c r="H147" i="55"/>
  <c r="J206" i="55"/>
  <c r="H148" i="55"/>
  <c r="J207" i="55"/>
  <c r="H149" i="55"/>
  <c r="J208" i="55"/>
  <c r="H150" i="55"/>
  <c r="J209" i="55"/>
  <c r="H151" i="55"/>
  <c r="J210" i="55"/>
  <c r="H152" i="55"/>
  <c r="J211" i="55"/>
  <c r="H153" i="55"/>
  <c r="J212" i="55"/>
  <c r="H154" i="55"/>
  <c r="J213" i="55"/>
  <c r="H155" i="55"/>
  <c r="J214" i="55"/>
  <c r="H156" i="55"/>
  <c r="J215" i="55"/>
  <c r="H157" i="55"/>
  <c r="J216" i="55"/>
  <c r="H158" i="55"/>
  <c r="J217" i="55"/>
  <c r="H159" i="55"/>
  <c r="J218" i="55"/>
  <c r="H160" i="55"/>
  <c r="J219" i="55"/>
  <c r="H161" i="55"/>
  <c r="J220" i="55"/>
  <c r="H162" i="55"/>
  <c r="J221" i="55"/>
  <c r="H163" i="55"/>
  <c r="J222" i="55"/>
  <c r="H164" i="55"/>
  <c r="J223" i="55"/>
  <c r="H165" i="55"/>
  <c r="J224" i="55"/>
  <c r="H166" i="55"/>
  <c r="J225" i="55"/>
  <c r="H167" i="55"/>
  <c r="J226" i="55"/>
  <c r="H168" i="55"/>
  <c r="J227" i="55"/>
  <c r="J229" i="55"/>
  <c r="K36" i="61"/>
  <c r="K28" i="48"/>
  <c r="K29" i="48"/>
  <c r="K30" i="48"/>
  <c r="K31" i="48"/>
  <c r="K32" i="48"/>
  <c r="K33" i="48"/>
  <c r="K34" i="48"/>
  <c r="K35" i="48"/>
  <c r="K36" i="48"/>
  <c r="K37" i="48"/>
  <c r="K38" i="48"/>
  <c r="K39" i="48"/>
  <c r="K35" i="61"/>
  <c r="J130" i="53"/>
  <c r="J131" i="53"/>
  <c r="J132" i="53"/>
  <c r="J133" i="53"/>
  <c r="J134" i="53"/>
  <c r="J135" i="53"/>
  <c r="J136" i="53"/>
  <c r="J137" i="53"/>
  <c r="J139" i="53"/>
  <c r="J140" i="53"/>
  <c r="J141" i="53"/>
  <c r="J142" i="53"/>
  <c r="J143" i="53"/>
  <c r="J144" i="53"/>
  <c r="J145" i="53"/>
  <c r="J146" i="53"/>
  <c r="J148" i="53"/>
  <c r="J149" i="53"/>
  <c r="J150" i="53"/>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82" i="53"/>
  <c r="J183" i="53"/>
  <c r="J184" i="53"/>
  <c r="J187" i="53"/>
  <c r="J188" i="53"/>
  <c r="J191" i="53"/>
  <c r="K34" i="61"/>
  <c r="J139" i="72"/>
  <c r="J140" i="72"/>
  <c r="J141" i="72"/>
  <c r="H70" i="72"/>
  <c r="J142" i="72"/>
  <c r="J146" i="72"/>
  <c r="J148" i="72"/>
  <c r="K37" i="61"/>
  <c r="J154" i="84"/>
  <c r="J155" i="84"/>
  <c r="J156" i="84"/>
  <c r="J159" i="84"/>
  <c r="K39" i="61"/>
  <c r="H9" i="42"/>
  <c r="H10" i="42"/>
  <c r="J21" i="42"/>
  <c r="J23" i="42"/>
  <c r="K38" i="61"/>
  <c r="K41" i="61"/>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8" i="72"/>
  <c r="H37" i="72"/>
  <c r="G37" i="72"/>
  <c r="F37" i="72"/>
  <c r="E37" i="72"/>
  <c r="D37" i="72"/>
  <c r="C37" i="72"/>
  <c r="B37" i="72"/>
  <c r="C9" i="61"/>
  <c r="C17" i="61"/>
  <c r="H90" i="57"/>
  <c r="V8" i="61"/>
  <c r="V9" i="61"/>
  <c r="V10" i="61"/>
  <c r="V12" i="61"/>
  <c r="V13" i="61"/>
  <c r="U13" i="61"/>
  <c r="U12" i="61"/>
  <c r="U10" i="61"/>
  <c r="U11" i="61"/>
  <c r="U9" i="61"/>
  <c r="O13" i="61"/>
  <c r="N13" i="61"/>
  <c r="O12" i="61"/>
  <c r="N12" i="61"/>
  <c r="N11" i="61"/>
  <c r="N10" i="61"/>
  <c r="O10" i="61"/>
  <c r="O9" i="61"/>
  <c r="P9" i="61"/>
  <c r="Q9" i="61"/>
  <c r="R9" i="61"/>
  <c r="N9" i="61"/>
  <c r="R8" i="61"/>
  <c r="Q8" i="61"/>
  <c r="P8" i="61"/>
  <c r="O8" i="61"/>
  <c r="P10" i="61"/>
  <c r="Q10" i="61"/>
  <c r="R10" i="61"/>
  <c r="P12" i="61"/>
  <c r="Q12" i="61"/>
  <c r="R12" i="61"/>
  <c r="P13" i="61"/>
  <c r="Q13" i="61"/>
  <c r="R13" i="61"/>
  <c r="C15" i="61"/>
  <c r="C16" i="61"/>
  <c r="H8" i="21"/>
  <c r="I171" i="29"/>
  <c r="H9" i="21"/>
  <c r="I172" i="29"/>
  <c r="H12" i="21"/>
  <c r="I175" i="29"/>
  <c r="H13" i="21"/>
  <c r="I176" i="29"/>
  <c r="H11" i="21"/>
  <c r="I174" i="29"/>
  <c r="H10" i="21"/>
  <c r="I173" i="29"/>
  <c r="I177" i="29"/>
  <c r="I178" i="29"/>
  <c r="G8" i="21"/>
  <c r="H171" i="29"/>
  <c r="G9" i="21"/>
  <c r="H172" i="29"/>
  <c r="G12" i="21"/>
  <c r="H175" i="29"/>
  <c r="G13" i="21"/>
  <c r="H176" i="29"/>
  <c r="G11" i="21"/>
  <c r="H174" i="29"/>
  <c r="G10" i="21"/>
  <c r="H173" i="29"/>
  <c r="H177" i="29"/>
  <c r="H178" i="29"/>
  <c r="F8" i="21"/>
  <c r="G171" i="29"/>
  <c r="F9" i="21"/>
  <c r="G172" i="29"/>
  <c r="F12" i="21"/>
  <c r="G175" i="29"/>
  <c r="F13" i="21"/>
  <c r="G176" i="29"/>
  <c r="F11" i="21"/>
  <c r="G174" i="29"/>
  <c r="F10" i="21"/>
  <c r="G173" i="29"/>
  <c r="G177" i="29"/>
  <c r="G178" i="29"/>
  <c r="E8" i="21"/>
  <c r="F171" i="29"/>
  <c r="E9" i="21"/>
  <c r="F172" i="29"/>
  <c r="E12" i="21"/>
  <c r="F175" i="29"/>
  <c r="E13" i="21"/>
  <c r="F176" i="29"/>
  <c r="E11" i="21"/>
  <c r="F174" i="29"/>
  <c r="E10" i="21"/>
  <c r="F173" i="29"/>
  <c r="F177" i="29"/>
  <c r="F178" i="29"/>
  <c r="D8" i="21"/>
  <c r="E171" i="29"/>
  <c r="D9" i="21"/>
  <c r="E172" i="29"/>
  <c r="D12" i="21"/>
  <c r="E175" i="29"/>
  <c r="D13" i="21"/>
  <c r="E176" i="29"/>
  <c r="D11" i="21"/>
  <c r="E174" i="29"/>
  <c r="D10" i="21"/>
  <c r="E173" i="29"/>
  <c r="E177" i="29"/>
  <c r="E178" i="29"/>
  <c r="C8" i="21"/>
  <c r="D171" i="29"/>
  <c r="C9" i="21"/>
  <c r="D172" i="29"/>
  <c r="C12" i="21"/>
  <c r="D175" i="29"/>
  <c r="C13" i="21"/>
  <c r="D176" i="29"/>
  <c r="C11" i="21"/>
  <c r="D174" i="29"/>
  <c r="C10" i="21"/>
  <c r="D173" i="29"/>
  <c r="D177" i="29"/>
  <c r="D178" i="29"/>
  <c r="C171" i="29"/>
  <c r="C172" i="29"/>
  <c r="C175" i="29"/>
  <c r="C176" i="29"/>
  <c r="C174" i="29"/>
  <c r="C173" i="29"/>
  <c r="C177" i="29"/>
  <c r="C178" i="29"/>
  <c r="B132" i="29"/>
  <c r="B147" i="29"/>
  <c r="B162" i="29"/>
  <c r="B177" i="29"/>
  <c r="B131" i="29"/>
  <c r="B146" i="29"/>
  <c r="B161" i="29"/>
  <c r="B176" i="29"/>
  <c r="I156" i="29"/>
  <c r="I157" i="29"/>
  <c r="I158" i="29"/>
  <c r="I159" i="29"/>
  <c r="I160" i="29"/>
  <c r="I161" i="29"/>
  <c r="I162" i="29"/>
  <c r="I163" i="29"/>
  <c r="H156" i="29"/>
  <c r="H157" i="29"/>
  <c r="H158" i="29"/>
  <c r="H159" i="29"/>
  <c r="H160" i="29"/>
  <c r="H161" i="29"/>
  <c r="H162" i="29"/>
  <c r="H163" i="29"/>
  <c r="G156" i="29"/>
  <c r="G157" i="29"/>
  <c r="G158" i="29"/>
  <c r="G159" i="29"/>
  <c r="G160" i="29"/>
  <c r="G161" i="29"/>
  <c r="G162" i="29"/>
  <c r="G163" i="29"/>
  <c r="F156" i="29"/>
  <c r="F157" i="29"/>
  <c r="F158" i="29"/>
  <c r="F159" i="29"/>
  <c r="F160" i="29"/>
  <c r="F161" i="29"/>
  <c r="F162" i="29"/>
  <c r="F163" i="29"/>
  <c r="E156" i="29"/>
  <c r="E157" i="29"/>
  <c r="E158" i="29"/>
  <c r="E159" i="29"/>
  <c r="E160" i="29"/>
  <c r="E161" i="29"/>
  <c r="E162" i="29"/>
  <c r="E163" i="29"/>
  <c r="D156" i="29"/>
  <c r="D157" i="29"/>
  <c r="D158" i="29"/>
  <c r="D159" i="29"/>
  <c r="D160" i="29"/>
  <c r="D161" i="29"/>
  <c r="D162" i="29"/>
  <c r="D163" i="29"/>
  <c r="C156" i="29"/>
  <c r="C157" i="29"/>
  <c r="C158" i="29"/>
  <c r="C159" i="29"/>
  <c r="C160" i="29"/>
  <c r="C161" i="29"/>
  <c r="C162" i="29"/>
  <c r="C163" i="29"/>
  <c r="I141" i="29"/>
  <c r="I142" i="29"/>
  <c r="I143" i="29"/>
  <c r="I144" i="29"/>
  <c r="I145" i="29"/>
  <c r="I146" i="29"/>
  <c r="I147" i="29"/>
  <c r="I148" i="29"/>
  <c r="H141" i="29"/>
  <c r="H142" i="29"/>
  <c r="H143" i="29"/>
  <c r="H144" i="29"/>
  <c r="H145" i="29"/>
  <c r="H146" i="29"/>
  <c r="H147" i="29"/>
  <c r="H148" i="29"/>
  <c r="G141" i="29"/>
  <c r="G142" i="29"/>
  <c r="G143" i="29"/>
  <c r="G144" i="29"/>
  <c r="G145" i="29"/>
  <c r="G146" i="29"/>
  <c r="G147" i="29"/>
  <c r="G148" i="29"/>
  <c r="F141" i="29"/>
  <c r="F142" i="29"/>
  <c r="F143" i="29"/>
  <c r="F144" i="29"/>
  <c r="F145" i="29"/>
  <c r="F146" i="29"/>
  <c r="F147" i="29"/>
  <c r="F148" i="29"/>
  <c r="E141" i="29"/>
  <c r="E142" i="29"/>
  <c r="E143" i="29"/>
  <c r="E144" i="29"/>
  <c r="E145" i="29"/>
  <c r="E146" i="29"/>
  <c r="E147" i="29"/>
  <c r="E148" i="29"/>
  <c r="D141" i="29"/>
  <c r="D142" i="29"/>
  <c r="D143" i="29"/>
  <c r="D144" i="29"/>
  <c r="D145" i="29"/>
  <c r="D146" i="29"/>
  <c r="D147" i="29"/>
  <c r="D148" i="29"/>
  <c r="C141" i="29"/>
  <c r="C142" i="29"/>
  <c r="C143" i="29"/>
  <c r="C144" i="29"/>
  <c r="C145" i="29"/>
  <c r="C146" i="29"/>
  <c r="C147" i="29"/>
  <c r="C148" i="29"/>
  <c r="I126" i="29"/>
  <c r="I127" i="29"/>
  <c r="I128" i="29"/>
  <c r="I129" i="29"/>
  <c r="I130" i="29"/>
  <c r="I131" i="29"/>
  <c r="I132" i="29"/>
  <c r="I133" i="29"/>
  <c r="H126" i="29"/>
  <c r="H127" i="29"/>
  <c r="H128" i="29"/>
  <c r="H129" i="29"/>
  <c r="H130" i="29"/>
  <c r="H131" i="29"/>
  <c r="H132" i="29"/>
  <c r="H133" i="29"/>
  <c r="G126" i="29"/>
  <c r="G127" i="29"/>
  <c r="G128" i="29"/>
  <c r="G129" i="29"/>
  <c r="G130" i="29"/>
  <c r="G131" i="29"/>
  <c r="G132" i="29"/>
  <c r="G133" i="29"/>
  <c r="F126" i="29"/>
  <c r="F127" i="29"/>
  <c r="F128" i="29"/>
  <c r="F129" i="29"/>
  <c r="F130" i="29"/>
  <c r="F131" i="29"/>
  <c r="F132" i="29"/>
  <c r="F133" i="29"/>
  <c r="E126" i="29"/>
  <c r="E127" i="29"/>
  <c r="E128" i="29"/>
  <c r="E129" i="29"/>
  <c r="E130" i="29"/>
  <c r="E131" i="29"/>
  <c r="E132" i="29"/>
  <c r="E133" i="29"/>
  <c r="D126" i="29"/>
  <c r="D127" i="29"/>
  <c r="D128" i="29"/>
  <c r="D129" i="29"/>
  <c r="D130" i="29"/>
  <c r="D131" i="29"/>
  <c r="D132" i="29"/>
  <c r="D133" i="29"/>
  <c r="C132" i="29"/>
  <c r="C126" i="29"/>
  <c r="C127" i="29"/>
  <c r="C128" i="29"/>
  <c r="C129" i="29"/>
  <c r="C130" i="29"/>
  <c r="C131" i="29"/>
  <c r="C133" i="29"/>
  <c r="B130" i="29"/>
  <c r="B129" i="29"/>
  <c r="B128" i="29"/>
  <c r="B127" i="29"/>
  <c r="B126" i="29"/>
  <c r="I32" i="29"/>
  <c r="I33" i="29"/>
  <c r="I34" i="29"/>
  <c r="I35" i="29"/>
  <c r="I36" i="29"/>
  <c r="I37" i="29"/>
  <c r="I39" i="29"/>
  <c r="H32" i="29"/>
  <c r="H33" i="29"/>
  <c r="H34" i="29"/>
  <c r="H35" i="29"/>
  <c r="H36" i="29"/>
  <c r="H37" i="29"/>
  <c r="H39" i="29"/>
  <c r="G32" i="29"/>
  <c r="G33" i="29"/>
  <c r="G34" i="29"/>
  <c r="G35" i="29"/>
  <c r="G36" i="29"/>
  <c r="G37" i="29"/>
  <c r="G39" i="29"/>
  <c r="F32" i="29"/>
  <c r="F33" i="29"/>
  <c r="F34" i="29"/>
  <c r="F35" i="29"/>
  <c r="F36" i="29"/>
  <c r="F37" i="29"/>
  <c r="F39" i="29"/>
  <c r="E32" i="29"/>
  <c r="E33" i="29"/>
  <c r="E34" i="29"/>
  <c r="E35" i="29"/>
  <c r="E36" i="29"/>
  <c r="E37" i="29"/>
  <c r="E39" i="29"/>
  <c r="D32" i="29"/>
  <c r="D33" i="29"/>
  <c r="D34" i="29"/>
  <c r="D35" i="29"/>
  <c r="D36" i="29"/>
  <c r="D37" i="29"/>
  <c r="D39" i="29"/>
  <c r="C32" i="29"/>
  <c r="C33" i="29"/>
  <c r="C34" i="29"/>
  <c r="C35" i="29"/>
  <c r="C36" i="29"/>
  <c r="C37" i="29"/>
  <c r="C39" i="29"/>
  <c r="B37" i="29"/>
  <c r="B36" i="29"/>
  <c r="B35" i="29"/>
  <c r="B34" i="29"/>
  <c r="B33" i="29"/>
  <c r="B32" i="29"/>
  <c r="C52" i="61"/>
  <c r="C51" i="61"/>
  <c r="C50" i="61"/>
  <c r="C49" i="61"/>
  <c r="C48" i="61"/>
  <c r="C47" i="61"/>
  <c r="J180" i="84"/>
  <c r="J181" i="84"/>
  <c r="J185" i="84"/>
  <c r="H33" i="21"/>
  <c r="I180" i="84"/>
  <c r="I181" i="84"/>
  <c r="I185" i="84"/>
  <c r="G33" i="21"/>
  <c r="H180" i="84"/>
  <c r="H181" i="84"/>
  <c r="H185" i="84"/>
  <c r="F33" i="21"/>
  <c r="G180" i="84"/>
  <c r="G181" i="84"/>
  <c r="G185" i="84"/>
  <c r="E33" i="21"/>
  <c r="F180" i="84"/>
  <c r="F181" i="84"/>
  <c r="F185" i="84"/>
  <c r="D33" i="21"/>
  <c r="E180" i="84"/>
  <c r="E181" i="84"/>
  <c r="E185" i="84"/>
  <c r="C33" i="21"/>
  <c r="A23" i="21"/>
  <c r="A33" i="21"/>
  <c r="H15" i="21"/>
  <c r="G15" i="21"/>
  <c r="F15" i="21"/>
  <c r="E15" i="21"/>
  <c r="D15" i="21"/>
  <c r="C15"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G39" i="72"/>
  <c r="G41" i="72"/>
  <c r="H39" i="72"/>
  <c r="H41" i="72"/>
  <c r="F41" i="84"/>
  <c r="F45" i="84"/>
  <c r="F46" i="84"/>
  <c r="F47" i="84"/>
  <c r="G44" i="84"/>
  <c r="G53" i="84"/>
  <c r="G48" i="84"/>
  <c r="G42" i="84"/>
  <c r="F39" i="72"/>
  <c r="F41" i="72"/>
  <c r="E41" i="84"/>
  <c r="E45" i="84"/>
  <c r="E46" i="84"/>
  <c r="E47" i="84"/>
  <c r="F44" i="84"/>
  <c r="F53" i="84"/>
  <c r="F48" i="84"/>
  <c r="F42" i="84"/>
  <c r="E39" i="72"/>
  <c r="E41" i="72"/>
  <c r="D41" i="84"/>
  <c r="D45" i="84"/>
  <c r="D46" i="84"/>
  <c r="D47" i="84"/>
  <c r="E44" i="84"/>
  <c r="E53" i="84"/>
  <c r="E48" i="84"/>
  <c r="E42" i="84"/>
  <c r="D39" i="72"/>
  <c r="D41" i="72"/>
  <c r="C41" i="84"/>
  <c r="C45" i="84"/>
  <c r="C46" i="84"/>
  <c r="C47" i="84"/>
  <c r="D44" i="84"/>
  <c r="D53" i="84"/>
  <c r="D48" i="84"/>
  <c r="D42" i="84"/>
  <c r="C39" i="72"/>
  <c r="C41" i="72"/>
  <c r="B45" i="84"/>
  <c r="B46" i="84"/>
  <c r="B47" i="84"/>
  <c r="C44" i="84"/>
  <c r="C53" i="84"/>
  <c r="C48" i="84"/>
  <c r="C42" i="84"/>
  <c r="B39" i="72"/>
  <c r="B41" i="72"/>
  <c r="B53" i="84"/>
  <c r="B44" i="84"/>
  <c r="B48" i="84"/>
  <c r="B42"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F23" i="22"/>
  <c r="C35" i="21"/>
  <c r="E294" i="55"/>
  <c r="E301" i="55"/>
  <c r="C28" i="21"/>
  <c r="E172" i="72"/>
  <c r="E177" i="72"/>
  <c r="C29" i="21"/>
  <c r="E265" i="53"/>
  <c r="E266" i="53"/>
  <c r="E267" i="53"/>
  <c r="E268" i="53"/>
  <c r="E273" i="53"/>
  <c r="C32" i="21"/>
  <c r="E37" i="42"/>
  <c r="E43" i="42"/>
  <c r="C30" i="21"/>
  <c r="F52" i="48"/>
  <c r="F56" i="48"/>
  <c r="C31" i="21"/>
  <c r="C36" i="21"/>
  <c r="G23" i="22"/>
  <c r="D35" i="21"/>
  <c r="F294" i="55"/>
  <c r="F301" i="55"/>
  <c r="D28" i="21"/>
  <c r="F172" i="72"/>
  <c r="F177" i="72"/>
  <c r="D29" i="21"/>
  <c r="F265" i="53"/>
  <c r="F266" i="53"/>
  <c r="F267" i="53"/>
  <c r="F268" i="53"/>
  <c r="F273" i="53"/>
  <c r="D32" i="21"/>
  <c r="F37" i="42"/>
  <c r="F43" i="42"/>
  <c r="D30" i="21"/>
  <c r="G52" i="48"/>
  <c r="G56" i="48"/>
  <c r="D31" i="21"/>
  <c r="D36" i="21"/>
  <c r="H23" i="22"/>
  <c r="E35" i="21"/>
  <c r="G294" i="55"/>
  <c r="G301" i="55"/>
  <c r="E28" i="21"/>
  <c r="G172" i="72"/>
  <c r="G177" i="72"/>
  <c r="E29" i="21"/>
  <c r="G265" i="53"/>
  <c r="G266" i="53"/>
  <c r="G267" i="53"/>
  <c r="G268" i="53"/>
  <c r="G273" i="53"/>
  <c r="E32" i="21"/>
  <c r="G37" i="42"/>
  <c r="G43" i="42"/>
  <c r="E30" i="21"/>
  <c r="H52" i="48"/>
  <c r="H56" i="48"/>
  <c r="E31" i="21"/>
  <c r="E36" i="21"/>
  <c r="I23" i="22"/>
  <c r="F35" i="21"/>
  <c r="H294" i="55"/>
  <c r="H301" i="55"/>
  <c r="F28" i="21"/>
  <c r="H172" i="72"/>
  <c r="H177" i="72"/>
  <c r="F29" i="21"/>
  <c r="H265" i="53"/>
  <c r="H266" i="53"/>
  <c r="H267" i="53"/>
  <c r="H268" i="53"/>
  <c r="H273" i="53"/>
  <c r="F32" i="21"/>
  <c r="H37" i="42"/>
  <c r="H43" i="42"/>
  <c r="F30" i="21"/>
  <c r="I52" i="48"/>
  <c r="I56" i="48"/>
  <c r="F31" i="21"/>
  <c r="F36" i="21"/>
  <c r="J23" i="22"/>
  <c r="G35" i="21"/>
  <c r="I294" i="55"/>
  <c r="I301" i="55"/>
  <c r="G28" i="21"/>
  <c r="I172" i="72"/>
  <c r="I177" i="72"/>
  <c r="G29" i="21"/>
  <c r="I265" i="53"/>
  <c r="I266" i="53"/>
  <c r="I267" i="53"/>
  <c r="I268" i="53"/>
  <c r="I273" i="53"/>
  <c r="G32" i="21"/>
  <c r="I37" i="42"/>
  <c r="I43" i="42"/>
  <c r="G30" i="21"/>
  <c r="J52" i="48"/>
  <c r="J56" i="48"/>
  <c r="G31" i="21"/>
  <c r="G36" i="21"/>
  <c r="G43" i="21"/>
  <c r="K23" i="22"/>
  <c r="H35" i="21"/>
  <c r="J294" i="55"/>
  <c r="J301" i="55"/>
  <c r="H28" i="21"/>
  <c r="J172" i="72"/>
  <c r="J177" i="72"/>
  <c r="H29" i="21"/>
  <c r="J265" i="53"/>
  <c r="J266" i="53"/>
  <c r="J267" i="53"/>
  <c r="J268" i="53"/>
  <c r="J273" i="53"/>
  <c r="H32" i="21"/>
  <c r="J37" i="42"/>
  <c r="J43" i="42"/>
  <c r="H30" i="21"/>
  <c r="K52" i="48"/>
  <c r="K56" i="48"/>
  <c r="H31" i="21"/>
  <c r="H36" i="21"/>
  <c r="H43" i="21"/>
  <c r="H87" i="22"/>
  <c r="I87" i="22"/>
  <c r="A61" i="22"/>
  <c r="A62" i="22"/>
  <c r="A63" i="22"/>
  <c r="A64" i="22"/>
  <c r="C135" i="29"/>
  <c r="D135" i="29"/>
  <c r="E135" i="29"/>
  <c r="F135" i="29"/>
  <c r="G135" i="29"/>
  <c r="H135" i="29"/>
  <c r="I135" i="29"/>
  <c r="B141" i="29"/>
  <c r="B142" i="29"/>
  <c r="B143" i="29"/>
  <c r="B144" i="29"/>
  <c r="B145" i="29"/>
  <c r="C150" i="29"/>
  <c r="D150" i="29"/>
  <c r="E150" i="29"/>
  <c r="F150" i="29"/>
  <c r="G150" i="29"/>
  <c r="H150" i="29"/>
  <c r="I150" i="29"/>
  <c r="B156" i="29"/>
  <c r="B157" i="29"/>
  <c r="B158" i="29"/>
  <c r="B159" i="29"/>
  <c r="B160" i="29"/>
  <c r="C165" i="29"/>
  <c r="D165" i="29"/>
  <c r="E165" i="29"/>
  <c r="F165" i="29"/>
  <c r="G165" i="29"/>
  <c r="H165" i="29"/>
  <c r="I165" i="29"/>
  <c r="B171" i="29"/>
  <c r="B172" i="29"/>
  <c r="B173" i="29"/>
  <c r="B174" i="29"/>
  <c r="B175" i="29"/>
  <c r="C180" i="29"/>
  <c r="D180" i="29"/>
  <c r="E180" i="29"/>
  <c r="F180" i="29"/>
  <c r="G180" i="29"/>
  <c r="H180" i="29"/>
  <c r="I180" i="29"/>
  <c r="H32" i="57"/>
  <c r="H111" i="29"/>
  <c r="I111" i="29"/>
  <c r="C65" i="29"/>
  <c r="D65" i="29"/>
  <c r="E65" i="29"/>
  <c r="F65" i="29"/>
  <c r="G65" i="29"/>
  <c r="H61" i="29"/>
  <c r="H65" i="29"/>
  <c r="I61" i="29"/>
  <c r="I65" i="29"/>
  <c r="I12" i="29"/>
  <c r="J12" i="29"/>
  <c r="V12" i="83"/>
  <c r="W12" i="83"/>
  <c r="X12" i="83"/>
  <c r="P12" i="83"/>
  <c r="Q12" i="83"/>
  <c r="R12" i="83"/>
  <c r="S12" i="83"/>
  <c r="T12" i="83"/>
  <c r="J14" i="81"/>
  <c r="K12" i="81"/>
  <c r="K14" i="81"/>
  <c r="L12" i="81"/>
  <c r="L14" i="81"/>
  <c r="M12" i="81"/>
  <c r="M14" i="81"/>
  <c r="B100" i="81"/>
  <c r="C100" i="81"/>
  <c r="D100" i="81"/>
  <c r="E100" i="81"/>
  <c r="F100" i="81"/>
  <c r="G100" i="81"/>
  <c r="B109" i="81"/>
  <c r="C109" i="81"/>
  <c r="D109" i="81"/>
  <c r="E109" i="81"/>
  <c r="F109" i="81"/>
  <c r="G109" i="81"/>
  <c r="N12" i="81"/>
  <c r="N14" i="81"/>
  <c r="A44" i="81"/>
  <c r="A69" i="81"/>
  <c r="A15" i="72"/>
  <c r="A39" i="72"/>
  <c r="A65"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83" i="72"/>
  <c r="A19" i="72"/>
  <c r="A43" i="72"/>
  <c r="A80" i="72"/>
  <c r="A18" i="72"/>
  <c r="A42" i="72"/>
  <c r="A77" i="72"/>
  <c r="A17" i="72"/>
  <c r="A41" i="72"/>
  <c r="A72" i="72"/>
  <c r="A16" i="72"/>
  <c r="A40" i="72"/>
  <c r="A69"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H54" i="72"/>
  <c r="H53" i="72"/>
  <c r="H52" i="72"/>
  <c r="H51" i="72"/>
  <c r="H50" i="72"/>
  <c r="H49" i="72"/>
  <c r="H48" i="72"/>
  <c r="H46" i="72"/>
  <c r="H45" i="72"/>
  <c r="H43" i="72"/>
  <c r="G54" i="72"/>
  <c r="G53" i="72"/>
  <c r="G52" i="72"/>
  <c r="G51" i="72"/>
  <c r="G50" i="72"/>
  <c r="G49" i="72"/>
  <c r="G48" i="72"/>
  <c r="G46" i="72"/>
  <c r="G45" i="72"/>
  <c r="G43" i="72"/>
  <c r="F54" i="72"/>
  <c r="F53" i="72"/>
  <c r="F52" i="72"/>
  <c r="F51" i="72"/>
  <c r="F50" i="72"/>
  <c r="F49" i="72"/>
  <c r="F48" i="72"/>
  <c r="F46" i="72"/>
  <c r="F45" i="72"/>
  <c r="F43" i="72"/>
  <c r="E54" i="72"/>
  <c r="E53" i="72"/>
  <c r="E52" i="72"/>
  <c r="E51" i="72"/>
  <c r="E50" i="72"/>
  <c r="E49" i="72"/>
  <c r="E48" i="72"/>
  <c r="E46" i="72"/>
  <c r="E45" i="72"/>
  <c r="E43" i="72"/>
  <c r="D54" i="72"/>
  <c r="D53" i="72"/>
  <c r="D52" i="72"/>
  <c r="D51" i="72"/>
  <c r="D50" i="72"/>
  <c r="D49" i="72"/>
  <c r="D48" i="72"/>
  <c r="D46" i="72"/>
  <c r="D45" i="72"/>
  <c r="D43" i="72"/>
  <c r="C54" i="72"/>
  <c r="C53" i="72"/>
  <c r="C52" i="72"/>
  <c r="C51" i="72"/>
  <c r="C50" i="72"/>
  <c r="C49" i="72"/>
  <c r="C48" i="72"/>
  <c r="C46" i="72"/>
  <c r="C45" i="72"/>
  <c r="C43" i="72"/>
  <c r="B54" i="72"/>
  <c r="B53" i="72"/>
  <c r="B52" i="72"/>
  <c r="B51" i="72"/>
  <c r="B50" i="72"/>
  <c r="B49" i="72"/>
  <c r="B48" i="72"/>
  <c r="B46" i="72"/>
  <c r="B45"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H100" i="81"/>
  <c r="V12" i="81"/>
  <c r="W12" i="81"/>
  <c r="X12" i="81"/>
  <c r="P12" i="81"/>
  <c r="Q12" i="81"/>
  <c r="R12" i="81"/>
  <c r="S12" i="81"/>
  <c r="T12" i="81"/>
  <c r="A32" i="48"/>
  <c r="A31" i="48"/>
  <c r="A30" i="48"/>
  <c r="A29" i="48"/>
  <c r="A28" i="48"/>
  <c r="A131" i="53"/>
  <c r="A198" i="53"/>
  <c r="J97" i="29"/>
  <c r="I97" i="29"/>
  <c r="B98" i="29"/>
  <c r="B97" i="29"/>
  <c r="B96" i="29"/>
  <c r="B95" i="29"/>
  <c r="J274" i="53"/>
  <c r="J276" i="53"/>
  <c r="I274" i="53"/>
  <c r="I276" i="53"/>
  <c r="H274" i="53"/>
  <c r="H276" i="53"/>
  <c r="G274" i="53"/>
  <c r="G276" i="53"/>
  <c r="F274" i="53"/>
  <c r="F276" i="53"/>
  <c r="E274" i="53"/>
  <c r="E276" i="53"/>
  <c r="D274" i="53"/>
  <c r="D276" i="53"/>
  <c r="I23" i="68"/>
  <c r="H23" i="68"/>
  <c r="G23" i="68"/>
  <c r="F23" i="68"/>
  <c r="E23" i="68"/>
  <c r="D23" i="68"/>
  <c r="C23" i="68"/>
  <c r="A20" i="21"/>
  <c r="A30" i="21"/>
  <c r="A19" i="21"/>
  <c r="A29" i="21"/>
  <c r="A18" i="21"/>
  <c r="A28" i="21"/>
  <c r="A21" i="21"/>
  <c r="A31" i="21"/>
  <c r="A22" i="21"/>
  <c r="A32" i="21"/>
  <c r="K57" i="48"/>
  <c r="J57" i="48"/>
  <c r="I57" i="48"/>
  <c r="H57" i="48"/>
  <c r="G57" i="48"/>
  <c r="F57" i="48"/>
  <c r="E57" i="48"/>
  <c r="J45" i="42"/>
  <c r="I45" i="42"/>
  <c r="H45" i="42"/>
  <c r="G45" i="42"/>
  <c r="F45" i="42"/>
  <c r="E45" i="42"/>
  <c r="D45" i="42"/>
  <c r="K145"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H27" i="69"/>
  <c r="H31" i="69"/>
  <c r="D6" i="68"/>
  <c r="C27" i="69"/>
  <c r="B27" i="69"/>
  <c r="D47" i="42"/>
  <c r="C6" i="68"/>
  <c r="D27" i="69"/>
  <c r="E27" i="69"/>
  <c r="G27" i="69"/>
  <c r="F27" i="69"/>
  <c r="E6" i="68"/>
  <c r="F6" i="68"/>
  <c r="G6" i="68"/>
  <c r="H6" i="68"/>
  <c r="I6" i="68"/>
  <c r="I166" i="84" l="1"/>
  <c r="J18" i="61" s="1"/>
  <c r="K9" i="61" s="1"/>
  <c r="J166" i="84"/>
  <c r="K18" i="61" s="1"/>
  <c r="G82" i="57"/>
  <c r="F105" i="57"/>
  <c r="D7" i="62" s="1"/>
  <c r="F119" i="57"/>
  <c r="D8" i="62" s="1"/>
  <c r="G12" i="57"/>
  <c r="D5" i="62" s="1"/>
  <c r="C37" i="22" s="1"/>
  <c r="H38" i="22" s="1"/>
  <c r="G88" i="57"/>
  <c r="G32" i="57"/>
  <c r="F158" i="72"/>
  <c r="G17" i="61" s="1"/>
  <c r="H8" i="61" s="1"/>
  <c r="O11" i="61"/>
  <c r="P11" i="61" s="1"/>
  <c r="Q11" i="61" s="1"/>
  <c r="Q16" i="61" s="1"/>
  <c r="I158" i="72"/>
  <c r="J17" i="61" s="1"/>
  <c r="K8" i="61" s="1"/>
  <c r="H158" i="72"/>
  <c r="I17" i="61" s="1"/>
  <c r="H175" i="84" s="1"/>
  <c r="G158" i="72"/>
  <c r="H17" i="61" s="1"/>
  <c r="G175" i="84" s="1"/>
  <c r="F10" i="62"/>
  <c r="D86" i="22"/>
  <c r="C43" i="21" s="1"/>
  <c r="E97" i="29" s="1"/>
  <c r="E86" i="22"/>
  <c r="D43" i="21" s="1"/>
  <c r="C20" i="68"/>
  <c r="G86" i="22"/>
  <c r="F86" i="22"/>
  <c r="E43" i="21" s="1"/>
  <c r="G12" i="29" s="1"/>
  <c r="C49" i="22"/>
  <c r="I50" i="22" s="1"/>
  <c r="F7" i="62"/>
  <c r="C17" i="68"/>
  <c r="F8" i="62"/>
  <c r="C18" i="68"/>
  <c r="C15" i="68"/>
  <c r="F283" i="55"/>
  <c r="G16" i="61" s="1"/>
  <c r="H283" i="55"/>
  <c r="I16" i="61" s="1"/>
  <c r="J283" i="55"/>
  <c r="K16" i="61" s="1"/>
  <c r="J290" i="55" s="1"/>
  <c r="C19" i="68"/>
  <c r="E283" i="55"/>
  <c r="F16" i="61" s="1"/>
  <c r="G7" i="61" s="1"/>
  <c r="F289" i="55" s="1"/>
  <c r="G283" i="55"/>
  <c r="H16" i="61" s="1"/>
  <c r="I283" i="55"/>
  <c r="J16" i="61" s="1"/>
  <c r="K7" i="61" s="1"/>
  <c r="J289" i="55" s="1"/>
  <c r="D56" i="22"/>
  <c r="E56" i="22"/>
  <c r="F56" i="22"/>
  <c r="C56" i="22"/>
  <c r="C57" i="22" s="1"/>
  <c r="G56" i="22"/>
  <c r="H56" i="22"/>
  <c r="I56" i="22"/>
  <c r="L55" i="22"/>
  <c r="V11" i="61"/>
  <c r="V16" i="61" s="1"/>
  <c r="F166" i="84"/>
  <c r="G18" i="61" s="1"/>
  <c r="F9" i="62"/>
  <c r="G166" i="84"/>
  <c r="H18" i="61" s="1"/>
  <c r="I9" i="61" s="1"/>
  <c r="H166" i="84"/>
  <c r="I18" i="61" s="1"/>
  <c r="J9" i="61" s="1"/>
  <c r="C61" i="22"/>
  <c r="D290" i="55"/>
  <c r="D292" i="55" s="1"/>
  <c r="F7" i="61"/>
  <c r="E158" i="72"/>
  <c r="F17" i="61" s="1"/>
  <c r="J158" i="72"/>
  <c r="K17" i="61" s="1"/>
  <c r="E166" i="84"/>
  <c r="F18" i="61" s="1"/>
  <c r="G9" i="61" s="1"/>
  <c r="C86" i="22"/>
  <c r="D166" i="84"/>
  <c r="E18" i="61" s="1"/>
  <c r="F9" i="61" s="1"/>
  <c r="D158" i="72"/>
  <c r="E17" i="61" s="1"/>
  <c r="G74" i="57"/>
  <c r="F5" i="62" l="1"/>
  <c r="G90" i="57"/>
  <c r="D6" i="62" s="1"/>
  <c r="E20" i="62" s="1"/>
  <c r="C10" i="68" s="1"/>
  <c r="F50" i="22"/>
  <c r="E87" i="22"/>
  <c r="P16" i="61"/>
  <c r="D111" i="29"/>
  <c r="D61" i="29"/>
  <c r="G50" i="22"/>
  <c r="R11" i="61"/>
  <c r="R16" i="61" s="1"/>
  <c r="C38" i="22"/>
  <c r="C39" i="22" s="1"/>
  <c r="I8" i="61"/>
  <c r="H166" i="72" s="1"/>
  <c r="E50" i="22"/>
  <c r="F167" i="72"/>
  <c r="E38" i="22"/>
  <c r="C50" i="22"/>
  <c r="C51" i="22" s="1"/>
  <c r="H167" i="72"/>
  <c r="H50" i="22"/>
  <c r="G38" i="22"/>
  <c r="L49" i="22"/>
  <c r="L50" i="22" s="1"/>
  <c r="L51" i="22" s="1"/>
  <c r="J8" i="61"/>
  <c r="I166" i="72" s="1"/>
  <c r="D50" i="22"/>
  <c r="G97" i="29"/>
  <c r="I175" i="84"/>
  <c r="F111" i="29"/>
  <c r="F61" i="29"/>
  <c r="D87" i="22"/>
  <c r="I167" i="72"/>
  <c r="J292" i="55"/>
  <c r="H18" i="21" s="1"/>
  <c r="O16" i="61"/>
  <c r="G167" i="72"/>
  <c r="F175" i="84"/>
  <c r="F43" i="21"/>
  <c r="G87" i="22"/>
  <c r="I38" i="22"/>
  <c r="F38" i="22"/>
  <c r="L37" i="22"/>
  <c r="L38" i="22" s="1"/>
  <c r="L39" i="22" s="1"/>
  <c r="E12" i="29"/>
  <c r="D38" i="22"/>
  <c r="F87" i="22"/>
  <c r="I290" i="55"/>
  <c r="E290" i="55"/>
  <c r="D57" i="22"/>
  <c r="E57" i="22" s="1"/>
  <c r="F57" i="22" s="1"/>
  <c r="G57" i="22" s="1"/>
  <c r="H57" i="22" s="1"/>
  <c r="I57" i="22" s="1"/>
  <c r="J21" i="61"/>
  <c r="J42" i="61" s="1"/>
  <c r="J44" i="61" s="1"/>
  <c r="K12" i="61"/>
  <c r="C58" i="22"/>
  <c r="D55" i="22" s="1"/>
  <c r="D58" i="22" s="1"/>
  <c r="E55" i="22" s="1"/>
  <c r="E58" i="22" s="1"/>
  <c r="F55" i="22" s="1"/>
  <c r="F58" i="22" s="1"/>
  <c r="G55" i="22" s="1"/>
  <c r="G58" i="22" s="1"/>
  <c r="H55" i="22" s="1"/>
  <c r="H58" i="22" s="1"/>
  <c r="I55" i="22" s="1"/>
  <c r="I58" i="22" s="1"/>
  <c r="F290" i="55"/>
  <c r="F292" i="55" s="1"/>
  <c r="H7" i="61"/>
  <c r="G289" i="55" s="1"/>
  <c r="I7" i="61"/>
  <c r="G290" i="55"/>
  <c r="H290" i="55"/>
  <c r="J7" i="61"/>
  <c r="I289" i="55" s="1"/>
  <c r="H9" i="61"/>
  <c r="G21" i="61"/>
  <c r="G42" i="61" s="1"/>
  <c r="G44" i="61" s="1"/>
  <c r="I21" i="61"/>
  <c r="I42" i="61" s="1"/>
  <c r="I44" i="61" s="1"/>
  <c r="H21" i="61"/>
  <c r="H42" i="61" s="1"/>
  <c r="H44" i="61" s="1"/>
  <c r="C62" i="22"/>
  <c r="C63" i="22" s="1"/>
  <c r="D62" i="22"/>
  <c r="E62" i="22"/>
  <c r="L61" i="22"/>
  <c r="L62" i="22" s="1"/>
  <c r="L63" i="22" s="1"/>
  <c r="F62" i="22"/>
  <c r="G62" i="22"/>
  <c r="H62" i="22"/>
  <c r="I62" i="22"/>
  <c r="L56" i="22"/>
  <c r="L57" i="22" s="1"/>
  <c r="B43" i="21"/>
  <c r="C87" i="22"/>
  <c r="J166" i="72"/>
  <c r="J174" i="84"/>
  <c r="D167" i="72"/>
  <c r="D169" i="72" s="1"/>
  <c r="F8" i="61"/>
  <c r="D175" i="84"/>
  <c r="D177" i="84" s="1"/>
  <c r="E289" i="55"/>
  <c r="E49" i="61"/>
  <c r="B18" i="21"/>
  <c r="D302" i="55"/>
  <c r="D305" i="55" s="1"/>
  <c r="E111" i="29"/>
  <c r="F97" i="29"/>
  <c r="F12" i="29"/>
  <c r="E61" i="29"/>
  <c r="E21" i="61"/>
  <c r="E42" i="61" s="1"/>
  <c r="E44" i="61" s="1"/>
  <c r="J175" i="84"/>
  <c r="J167" i="72"/>
  <c r="K21" i="61"/>
  <c r="K42" i="61" s="1"/>
  <c r="K44" i="61" s="1"/>
  <c r="G8" i="61"/>
  <c r="F21" i="61"/>
  <c r="F42" i="61" s="1"/>
  <c r="F44" i="61" s="1"/>
  <c r="E175" i="84"/>
  <c r="E167" i="72"/>
  <c r="G174" i="84"/>
  <c r="G177" i="84" s="1"/>
  <c r="G166" i="72"/>
  <c r="C43" i="22" l="1"/>
  <c r="F44" i="22" s="1"/>
  <c r="F66" i="22" s="1"/>
  <c r="E14" i="69" s="1"/>
  <c r="D4" i="23"/>
  <c r="C16" i="68"/>
  <c r="F6" i="62"/>
  <c r="F12" i="62" s="1"/>
  <c r="E19" i="62" s="1"/>
  <c r="B34" i="69" s="1"/>
  <c r="C34" i="69" s="1"/>
  <c r="D34" i="69" s="1"/>
  <c r="E34" i="69" s="1"/>
  <c r="F34" i="69" s="1"/>
  <c r="G34" i="69" s="1"/>
  <c r="H34" i="69" s="1"/>
  <c r="H174" i="84"/>
  <c r="H177" i="84" s="1"/>
  <c r="F23" i="21" s="1"/>
  <c r="C52" i="22"/>
  <c r="D49" i="22" s="1"/>
  <c r="D52" i="22" s="1"/>
  <c r="E49" i="22" s="1"/>
  <c r="E52" i="22" s="1"/>
  <c r="F49" i="22" s="1"/>
  <c r="F52" i="22" s="1"/>
  <c r="G49" i="22" s="1"/>
  <c r="G52" i="22" s="1"/>
  <c r="H49" i="22" s="1"/>
  <c r="H52" i="22" s="1"/>
  <c r="I49" i="22" s="1"/>
  <c r="I52" i="22" s="1"/>
  <c r="I169" i="72"/>
  <c r="G19" i="21" s="1"/>
  <c r="C40" i="22"/>
  <c r="D37" i="22" s="1"/>
  <c r="D40" i="22" s="1"/>
  <c r="E37" i="22" s="1"/>
  <c r="E40" i="22" s="1"/>
  <c r="F37" i="22" s="1"/>
  <c r="F40" i="22" s="1"/>
  <c r="G37" i="22" s="1"/>
  <c r="G40" i="22" s="1"/>
  <c r="H37" i="22" s="1"/>
  <c r="H40" i="22" s="1"/>
  <c r="I37" i="22" s="1"/>
  <c r="I40" i="22" s="1"/>
  <c r="G169" i="72"/>
  <c r="H50" i="61" s="1"/>
  <c r="H169" i="72"/>
  <c r="I50" i="61" s="1"/>
  <c r="K49" i="61"/>
  <c r="D39" i="22"/>
  <c r="E39" i="22" s="1"/>
  <c r="F39" i="22" s="1"/>
  <c r="G39" i="22" s="1"/>
  <c r="H39" i="22" s="1"/>
  <c r="I39" i="22" s="1"/>
  <c r="D51" i="22"/>
  <c r="E51" i="22" s="1"/>
  <c r="F51" i="22" s="1"/>
  <c r="G51" i="22" s="1"/>
  <c r="H51" i="22" s="1"/>
  <c r="I51" i="22" s="1"/>
  <c r="J302" i="55"/>
  <c r="J305" i="55" s="1"/>
  <c r="I174" i="84"/>
  <c r="I177" i="84" s="1"/>
  <c r="J52" i="61" s="1"/>
  <c r="I292" i="55"/>
  <c r="G18" i="21" s="1"/>
  <c r="H12" i="29"/>
  <c r="G61" i="29"/>
  <c r="G111" i="29"/>
  <c r="H97" i="29"/>
  <c r="J12" i="61"/>
  <c r="D63" i="22"/>
  <c r="E63" i="22" s="1"/>
  <c r="F63" i="22" s="1"/>
  <c r="G63" i="22" s="1"/>
  <c r="H63" i="22" s="1"/>
  <c r="I63" i="22" s="1"/>
  <c r="E292" i="55"/>
  <c r="C18" i="21" s="1"/>
  <c r="H12" i="61"/>
  <c r="L58" i="22"/>
  <c r="M55" i="22" s="1"/>
  <c r="M56" i="22" s="1"/>
  <c r="M58" i="22" s="1"/>
  <c r="N55" i="22" s="1"/>
  <c r="N56" i="22" s="1"/>
  <c r="N58" i="22" s="1"/>
  <c r="O55" i="22" s="1"/>
  <c r="O56" i="22" s="1"/>
  <c r="G49" i="61"/>
  <c r="F302" i="55"/>
  <c r="F305" i="55" s="1"/>
  <c r="D18" i="21"/>
  <c r="C64" i="22"/>
  <c r="D61" i="22" s="1"/>
  <c r="D64" i="22" s="1"/>
  <c r="E61" i="22" s="1"/>
  <c r="E64" i="22" s="1"/>
  <c r="F61" i="22" s="1"/>
  <c r="F64" i="22" s="1"/>
  <c r="G61" i="22" s="1"/>
  <c r="G64" i="22" s="1"/>
  <c r="H61" i="22" s="1"/>
  <c r="H64" i="22" s="1"/>
  <c r="I61" i="22" s="1"/>
  <c r="I64" i="22" s="1"/>
  <c r="G292" i="55"/>
  <c r="L40" i="22"/>
  <c r="M37" i="22" s="1"/>
  <c r="M38" i="22" s="1"/>
  <c r="H289" i="55"/>
  <c r="H292" i="55" s="1"/>
  <c r="I12" i="61"/>
  <c r="L64" i="22"/>
  <c r="M61" i="22" s="1"/>
  <c r="M62" i="22" s="1"/>
  <c r="M63" i="22" s="1"/>
  <c r="J169" i="72"/>
  <c r="K50" i="61" s="1"/>
  <c r="J177" i="84"/>
  <c r="E23" i="21"/>
  <c r="G186" i="84"/>
  <c r="G188" i="84" s="1"/>
  <c r="H52" i="61"/>
  <c r="C111" i="29"/>
  <c r="D12" i="29"/>
  <c r="D97" i="29"/>
  <c r="C61" i="29"/>
  <c r="B18" i="69"/>
  <c r="C18" i="69" s="1"/>
  <c r="D18" i="69" s="1"/>
  <c r="E18" i="69" s="1"/>
  <c r="F18" i="69" s="1"/>
  <c r="G18" i="69" s="1"/>
  <c r="H18" i="69" s="1"/>
  <c r="G12" i="61"/>
  <c r="F174" i="84"/>
  <c r="F177" i="84" s="1"/>
  <c r="F166" i="72"/>
  <c r="F169" i="72" s="1"/>
  <c r="L52" i="22"/>
  <c r="M49" i="22" s="1"/>
  <c r="B19" i="21"/>
  <c r="E50" i="61"/>
  <c r="D178" i="72"/>
  <c r="D180" i="72" s="1"/>
  <c r="E52" i="61"/>
  <c r="B23" i="21"/>
  <c r="D186" i="84"/>
  <c r="D188" i="84" s="1"/>
  <c r="E166" i="72"/>
  <c r="E169" i="72" s="1"/>
  <c r="E174" i="84"/>
  <c r="E177" i="84" s="1"/>
  <c r="F12" i="61"/>
  <c r="C10" i="23"/>
  <c r="D8" i="23"/>
  <c r="D44" i="22" l="1"/>
  <c r="D66" i="22" s="1"/>
  <c r="C14" i="69" s="1"/>
  <c r="C9" i="68"/>
  <c r="I44" i="22"/>
  <c r="I66" i="22" s="1"/>
  <c r="H14" i="69" s="1"/>
  <c r="L43" i="22"/>
  <c r="L44" i="22" s="1"/>
  <c r="L46" i="22" s="1"/>
  <c r="C44" i="22"/>
  <c r="C46" i="22" s="1"/>
  <c r="D43" i="22" s="1"/>
  <c r="C65" i="22"/>
  <c r="B13" i="69" s="1"/>
  <c r="E44" i="22"/>
  <c r="E66" i="22" s="1"/>
  <c r="D42" i="21" s="1"/>
  <c r="E60" i="29" s="1"/>
  <c r="H44" i="22"/>
  <c r="H66" i="22" s="1"/>
  <c r="G42" i="21" s="1"/>
  <c r="H60" i="29" s="1"/>
  <c r="G44" i="22"/>
  <c r="G66" i="22" s="1"/>
  <c r="F42" i="21" s="1"/>
  <c r="H96" i="29" s="1"/>
  <c r="H186" i="84"/>
  <c r="H188" i="84" s="1"/>
  <c r="J50" i="61"/>
  <c r="I52" i="61"/>
  <c r="E19" i="21"/>
  <c r="F19" i="21"/>
  <c r="G178" i="72"/>
  <c r="G180" i="72" s="1"/>
  <c r="I178" i="72"/>
  <c r="I180" i="72" s="1"/>
  <c r="G23" i="21"/>
  <c r="G25" i="21" s="1"/>
  <c r="G38" i="21" s="1"/>
  <c r="G40" i="21" s="1"/>
  <c r="H109" i="29" s="1"/>
  <c r="H178" i="72"/>
  <c r="H180" i="72" s="1"/>
  <c r="I186" i="84"/>
  <c r="I188" i="84" s="1"/>
  <c r="I302" i="55"/>
  <c r="I305" i="55" s="1"/>
  <c r="J49" i="61"/>
  <c r="B25" i="21"/>
  <c r="C181" i="29" s="1"/>
  <c r="C182" i="29" s="1"/>
  <c r="C183" i="29" s="1"/>
  <c r="E302" i="55"/>
  <c r="E305" i="55" s="1"/>
  <c r="C66" i="22"/>
  <c r="B14" i="69" s="1"/>
  <c r="F49" i="61"/>
  <c r="E42" i="21"/>
  <c r="F45" i="29" s="1"/>
  <c r="H19" i="21"/>
  <c r="M39" i="22"/>
  <c r="M40" i="22"/>
  <c r="N37" i="22" s="1"/>
  <c r="N38" i="22" s="1"/>
  <c r="N40" i="22" s="1"/>
  <c r="O37" i="22" s="1"/>
  <c r="M57" i="22"/>
  <c r="N57" i="22" s="1"/>
  <c r="O57" i="22" s="1"/>
  <c r="C45" i="22"/>
  <c r="D45" i="22" s="1"/>
  <c r="F18" i="21"/>
  <c r="I49" i="61"/>
  <c r="I54" i="61" s="1"/>
  <c r="I55" i="61" s="1"/>
  <c r="G11" i="68" s="1"/>
  <c r="H302" i="55"/>
  <c r="H305" i="55" s="1"/>
  <c r="E18" i="21"/>
  <c r="G302" i="55"/>
  <c r="G305" i="55" s="1"/>
  <c r="H49" i="61"/>
  <c r="H54" i="61" s="1"/>
  <c r="H55" i="61" s="1"/>
  <c r="F11" i="68" s="1"/>
  <c r="F27" i="68" s="1"/>
  <c r="F28" i="68" s="1"/>
  <c r="F113" i="29" s="1"/>
  <c r="J178" i="72"/>
  <c r="J180" i="72" s="1"/>
  <c r="O58" i="22"/>
  <c r="P55" i="22" s="1"/>
  <c r="P56" i="22" s="1"/>
  <c r="P58" i="22" s="1"/>
  <c r="Q55" i="22" s="1"/>
  <c r="M64" i="22"/>
  <c r="N61" i="22" s="1"/>
  <c r="N62" i="22" s="1"/>
  <c r="N63" i="22" s="1"/>
  <c r="L65" i="22"/>
  <c r="E54" i="61"/>
  <c r="E55" i="61" s="1"/>
  <c r="E56" i="61" s="1"/>
  <c r="E186" i="84"/>
  <c r="E188" i="84" s="1"/>
  <c r="F52" i="61"/>
  <c r="C23" i="21"/>
  <c r="C19" i="21"/>
  <c r="E178" i="72"/>
  <c r="E180" i="72" s="1"/>
  <c r="F50" i="61"/>
  <c r="G50" i="61"/>
  <c r="D19" i="21"/>
  <c r="F178" i="72"/>
  <c r="F180" i="72" s="1"/>
  <c r="M50" i="22"/>
  <c r="M51" i="22" s="1"/>
  <c r="D23" i="21"/>
  <c r="G52" i="61"/>
  <c r="F186" i="84"/>
  <c r="F188" i="84" s="1"/>
  <c r="H23" i="21"/>
  <c r="J186" i="84"/>
  <c r="J188" i="84" s="1"/>
  <c r="K52" i="61"/>
  <c r="K54" i="61" s="1"/>
  <c r="K55" i="61" s="1"/>
  <c r="I11" i="68" s="1"/>
  <c r="F96" i="29"/>
  <c r="E45" i="29"/>
  <c r="G96" i="22"/>
  <c r="D10" i="23"/>
  <c r="F26" i="23"/>
  <c r="F35" i="23"/>
  <c r="F43" i="23"/>
  <c r="F52" i="23"/>
  <c r="F61" i="23"/>
  <c r="F19" i="23"/>
  <c r="F23" i="23"/>
  <c r="F31" i="23"/>
  <c r="F40" i="23"/>
  <c r="F49" i="23"/>
  <c r="F16" i="23"/>
  <c r="F28" i="23"/>
  <c r="F37" i="23"/>
  <c r="F18" i="23"/>
  <c r="F22" i="23"/>
  <c r="F30" i="23"/>
  <c r="F39" i="23"/>
  <c r="F48" i="23"/>
  <c r="F56" i="23"/>
  <c r="F57" i="23"/>
  <c r="F65" i="23"/>
  <c r="F74" i="23"/>
  <c r="F27" i="23"/>
  <c r="F36" i="23"/>
  <c r="F44" i="23"/>
  <c r="F45" i="23"/>
  <c r="F53" i="23"/>
  <c r="F62" i="23"/>
  <c r="F71" i="23"/>
  <c r="F79" i="23"/>
  <c r="F20" i="23"/>
  <c r="F24" i="23"/>
  <c r="F32" i="23"/>
  <c r="F33" i="23"/>
  <c r="F41" i="23"/>
  <c r="F50" i="23"/>
  <c r="F59" i="23"/>
  <c r="F67" i="23"/>
  <c r="F76" i="23"/>
  <c r="F25" i="23"/>
  <c r="F42" i="23"/>
  <c r="F54" i="23"/>
  <c r="F69" i="23"/>
  <c r="F81" i="23"/>
  <c r="F89" i="23"/>
  <c r="F93" i="23"/>
  <c r="F46" i="23"/>
  <c r="F66" i="23"/>
  <c r="F72" i="23"/>
  <c r="F77" i="23"/>
  <c r="F86" i="23"/>
  <c r="F55" i="23"/>
  <c r="F63" i="23"/>
  <c r="F70" i="23"/>
  <c r="F75" i="23"/>
  <c r="F80" i="23"/>
  <c r="F83" i="23"/>
  <c r="F91" i="23"/>
  <c r="F21" i="23"/>
  <c r="F38" i="23"/>
  <c r="F47" i="23"/>
  <c r="F51" i="23"/>
  <c r="F60" i="23"/>
  <c r="F73" i="23"/>
  <c r="F78" i="23"/>
  <c r="F88" i="23"/>
  <c r="F64" i="23"/>
  <c r="F85" i="23"/>
  <c r="F68" i="23"/>
  <c r="F29" i="23"/>
  <c r="F58" i="23"/>
  <c r="F82" i="23"/>
  <c r="F90" i="23"/>
  <c r="F17" i="23"/>
  <c r="F34" i="23"/>
  <c r="F87" i="23"/>
  <c r="F92" i="23"/>
  <c r="F84" i="23"/>
  <c r="L66" i="22"/>
  <c r="B97" i="22" s="1"/>
  <c r="L45" i="22"/>
  <c r="L68" i="22"/>
  <c r="M43" i="22"/>
  <c r="D65" i="22"/>
  <c r="C13" i="69" s="1"/>
  <c r="C15" i="69" s="1"/>
  <c r="D46" i="22"/>
  <c r="D96" i="22" l="1"/>
  <c r="H45" i="29"/>
  <c r="F11" i="29"/>
  <c r="H110" i="29"/>
  <c r="C42" i="21"/>
  <c r="E96" i="29" s="1"/>
  <c r="I11" i="29"/>
  <c r="I96" i="29"/>
  <c r="F96" i="22"/>
  <c r="G45" i="29"/>
  <c r="G110" i="29"/>
  <c r="D14" i="69"/>
  <c r="F14" i="69"/>
  <c r="E110" i="29"/>
  <c r="C68" i="22"/>
  <c r="G60" i="29"/>
  <c r="B15" i="69"/>
  <c r="H11" i="29"/>
  <c r="H42" i="21"/>
  <c r="J96" i="29" s="1"/>
  <c r="G14" i="69"/>
  <c r="J54" i="61"/>
  <c r="J55" i="61" s="1"/>
  <c r="H11" i="68" s="1"/>
  <c r="H12" i="68" s="1"/>
  <c r="F25" i="21"/>
  <c r="G166" i="29" s="1"/>
  <c r="G167" i="29" s="1"/>
  <c r="G168" i="29" s="1"/>
  <c r="E25" i="21"/>
  <c r="E38" i="21" s="1"/>
  <c r="E40" i="21" s="1"/>
  <c r="G96" i="29"/>
  <c r="H41" i="29"/>
  <c r="H43" i="29" s="1"/>
  <c r="H47" i="29" s="1"/>
  <c r="H136" i="29"/>
  <c r="H137" i="29" s="1"/>
  <c r="H138" i="29" s="1"/>
  <c r="H166" i="29"/>
  <c r="H167" i="29" s="1"/>
  <c r="H168" i="29" s="1"/>
  <c r="H22" i="68"/>
  <c r="H181" i="29"/>
  <c r="H182" i="29" s="1"/>
  <c r="H183" i="29" s="1"/>
  <c r="C22" i="68"/>
  <c r="E96" i="22"/>
  <c r="F110" i="29"/>
  <c r="F60" i="29"/>
  <c r="H151" i="29"/>
  <c r="H152" i="29" s="1"/>
  <c r="H153" i="29" s="1"/>
  <c r="G11" i="29"/>
  <c r="B42" i="21"/>
  <c r="D11" i="29" s="1"/>
  <c r="I60" i="29"/>
  <c r="C41" i="29"/>
  <c r="C43" i="29" s="1"/>
  <c r="H25" i="21"/>
  <c r="I41" i="29" s="1"/>
  <c r="I43" i="29" s="1"/>
  <c r="C166" i="29"/>
  <c r="C167" i="29" s="1"/>
  <c r="C168" i="29" s="1"/>
  <c r="B38" i="21"/>
  <c r="B40" i="21" s="1"/>
  <c r="C109" i="29" s="1"/>
  <c r="C151" i="29"/>
  <c r="C152" i="29" s="1"/>
  <c r="C153" i="29" s="1"/>
  <c r="C67" i="22"/>
  <c r="C136" i="29"/>
  <c r="C137" i="29" s="1"/>
  <c r="C138" i="29" s="1"/>
  <c r="F54" i="61"/>
  <c r="F55" i="61" s="1"/>
  <c r="D11" i="68" s="1"/>
  <c r="D27" i="68" s="1"/>
  <c r="D28" i="68" s="1"/>
  <c r="D113" i="29" s="1"/>
  <c r="G45" i="21"/>
  <c r="C11" i="68"/>
  <c r="C27" i="68" s="1"/>
  <c r="C28" i="68" s="1"/>
  <c r="C113" i="29" s="1"/>
  <c r="C25" i="21"/>
  <c r="D22" i="68" s="1"/>
  <c r="I45" i="29"/>
  <c r="G54" i="61"/>
  <c r="G55" i="61" s="1"/>
  <c r="E11" i="68" s="1"/>
  <c r="E27" i="68" s="1"/>
  <c r="E28" i="68" s="1"/>
  <c r="E113" i="29" s="1"/>
  <c r="I110" i="29"/>
  <c r="H27" i="68"/>
  <c r="H28" i="68" s="1"/>
  <c r="H113" i="29" s="1"/>
  <c r="D110" i="29"/>
  <c r="F12" i="68"/>
  <c r="P57" i="22"/>
  <c r="O38" i="22"/>
  <c r="O40" i="22" s="1"/>
  <c r="P37" i="22" s="1"/>
  <c r="Q56" i="22"/>
  <c r="Q58" i="22" s="1"/>
  <c r="R55" i="22" s="1"/>
  <c r="J11" i="29"/>
  <c r="I12" i="68"/>
  <c r="I27" i="68"/>
  <c r="I28" i="68" s="1"/>
  <c r="I113" i="29" s="1"/>
  <c r="N39" i="22"/>
  <c r="N64" i="22"/>
  <c r="O61" i="22" s="1"/>
  <c r="D11" i="62"/>
  <c r="D12" i="62" s="1"/>
  <c r="J41" i="21"/>
  <c r="M52" i="22"/>
  <c r="N49" i="22" s="1"/>
  <c r="G27" i="68"/>
  <c r="G28" i="68" s="1"/>
  <c r="G113" i="29" s="1"/>
  <c r="G12" i="68"/>
  <c r="H96" i="22"/>
  <c r="D25" i="21"/>
  <c r="E45" i="22"/>
  <c r="D67" i="22"/>
  <c r="D68" i="22"/>
  <c r="E43" i="22"/>
  <c r="M44" i="22"/>
  <c r="M66" i="22" s="1"/>
  <c r="C97" i="22" s="1"/>
  <c r="M65" i="22"/>
  <c r="L67" i="22"/>
  <c r="F10" i="23"/>
  <c r="E10" i="23" s="1"/>
  <c r="E11" i="29" l="1"/>
  <c r="D60" i="29"/>
  <c r="D45" i="29"/>
  <c r="C96" i="22"/>
  <c r="G41" i="29"/>
  <c r="G43" i="29" s="1"/>
  <c r="G47" i="29" s="1"/>
  <c r="G151" i="29"/>
  <c r="G152" i="29" s="1"/>
  <c r="G153" i="29" s="1"/>
  <c r="G181" i="29"/>
  <c r="G182" i="29" s="1"/>
  <c r="G183" i="29" s="1"/>
  <c r="F38" i="21"/>
  <c r="F40" i="21" s="1"/>
  <c r="G109" i="29" s="1"/>
  <c r="G136" i="29"/>
  <c r="G137" i="29" s="1"/>
  <c r="G138" i="29" s="1"/>
  <c r="G22" i="68"/>
  <c r="F136" i="29"/>
  <c r="F137" i="29" s="1"/>
  <c r="F138" i="29" s="1"/>
  <c r="F151" i="29"/>
  <c r="F152" i="29" s="1"/>
  <c r="F153" i="29" s="1"/>
  <c r="F41" i="29"/>
  <c r="F43" i="29" s="1"/>
  <c r="F47" i="29" s="1"/>
  <c r="F166" i="29"/>
  <c r="F167" i="29" s="1"/>
  <c r="F168" i="29" s="1"/>
  <c r="F181" i="29"/>
  <c r="F182" i="29" s="1"/>
  <c r="F183" i="29" s="1"/>
  <c r="F22" i="68"/>
  <c r="C60" i="29"/>
  <c r="C45" i="29"/>
  <c r="C47" i="29" s="1"/>
  <c r="C110" i="29"/>
  <c r="B45" i="21"/>
  <c r="D96" i="29"/>
  <c r="B96" i="22"/>
  <c r="I151" i="29"/>
  <c r="I152" i="29" s="1"/>
  <c r="I153" i="29" s="1"/>
  <c r="D181" i="29"/>
  <c r="D182" i="29" s="1"/>
  <c r="D183" i="29" s="1"/>
  <c r="I22" i="68"/>
  <c r="H38" i="21"/>
  <c r="H40" i="21" s="1"/>
  <c r="H45" i="21" s="1"/>
  <c r="I166" i="29"/>
  <c r="I167" i="29" s="1"/>
  <c r="I168" i="29" s="1"/>
  <c r="C38" i="21"/>
  <c r="C40" i="21" s="1"/>
  <c r="D109" i="29" s="1"/>
  <c r="D41" i="29"/>
  <c r="D43" i="29" s="1"/>
  <c r="D47" i="29" s="1"/>
  <c r="I136" i="29"/>
  <c r="I137" i="29" s="1"/>
  <c r="I138" i="29" s="1"/>
  <c r="I181" i="29"/>
  <c r="I182" i="29" s="1"/>
  <c r="I183" i="29" s="1"/>
  <c r="D151" i="29"/>
  <c r="D152" i="29" s="1"/>
  <c r="D153" i="29" s="1"/>
  <c r="D136" i="29"/>
  <c r="D137" i="29" s="1"/>
  <c r="D138" i="29" s="1"/>
  <c r="D166" i="29"/>
  <c r="D167" i="29" s="1"/>
  <c r="D168" i="29" s="1"/>
  <c r="I47" i="29"/>
  <c r="D12" i="68"/>
  <c r="O39" i="22"/>
  <c r="F109" i="29"/>
  <c r="E45" i="21"/>
  <c r="E12" i="68"/>
  <c r="Q57" i="22"/>
  <c r="P38" i="22"/>
  <c r="E136" i="29"/>
  <c r="E137" i="29" s="1"/>
  <c r="E138" i="29" s="1"/>
  <c r="E22" i="68"/>
  <c r="D38" i="21"/>
  <c r="D40" i="21" s="1"/>
  <c r="E181" i="29"/>
  <c r="E182" i="29" s="1"/>
  <c r="E183" i="29" s="1"/>
  <c r="E151" i="29"/>
  <c r="E152" i="29" s="1"/>
  <c r="E153" i="29" s="1"/>
  <c r="E166" i="29"/>
  <c r="E167" i="29" s="1"/>
  <c r="E168" i="29" s="1"/>
  <c r="E41" i="29"/>
  <c r="E43" i="29" s="1"/>
  <c r="E47" i="29" s="1"/>
  <c r="N50" i="22"/>
  <c r="N51" i="22" s="1"/>
  <c r="E21" i="62"/>
  <c r="D22" i="29"/>
  <c r="C83" i="29"/>
  <c r="C71" i="29"/>
  <c r="C15" i="29"/>
  <c r="C94" i="29"/>
  <c r="R56" i="22"/>
  <c r="R58" i="22" s="1"/>
  <c r="I109" i="29"/>
  <c r="O62" i="22"/>
  <c r="O63" i="22" s="1"/>
  <c r="M46" i="22"/>
  <c r="N43" i="22" s="1"/>
  <c r="G10" i="23"/>
  <c r="C11" i="23" s="1"/>
  <c r="M45" i="22"/>
  <c r="E67" i="22"/>
  <c r="F45" i="22"/>
  <c r="E46" i="22"/>
  <c r="E65" i="22"/>
  <c r="D13" i="69" s="1"/>
  <c r="D15" i="69" s="1"/>
  <c r="F45" i="21" l="1"/>
  <c r="C45" i="21"/>
  <c r="C49" i="29"/>
  <c r="D28" i="62" s="1"/>
  <c r="P39" i="22"/>
  <c r="R57" i="22"/>
  <c r="N52" i="22"/>
  <c r="O49" i="22" s="1"/>
  <c r="O50" i="22" s="1"/>
  <c r="O52" i="22" s="1"/>
  <c r="P49" i="22" s="1"/>
  <c r="O64" i="22"/>
  <c r="P61" i="22" s="1"/>
  <c r="P62" i="22" s="1"/>
  <c r="E22" i="62"/>
  <c r="B33" i="69"/>
  <c r="C33" i="69" s="1"/>
  <c r="D33" i="69" s="1"/>
  <c r="E33" i="69" s="1"/>
  <c r="F33" i="69" s="1"/>
  <c r="C7" i="68"/>
  <c r="C12" i="68" s="1"/>
  <c r="E109" i="29"/>
  <c r="D45" i="21"/>
  <c r="M68" i="22"/>
  <c r="P40" i="22"/>
  <c r="Q37" i="22" s="1"/>
  <c r="F43" i="22"/>
  <c r="E68" i="22"/>
  <c r="D11" i="23"/>
  <c r="N44" i="22"/>
  <c r="N66" i="22" s="1"/>
  <c r="D97" i="22" s="1"/>
  <c r="N65" i="22"/>
  <c r="F67" i="22"/>
  <c r="G45" i="22"/>
  <c r="M67" i="22"/>
  <c r="P63" i="22" l="1"/>
  <c r="P64" i="22"/>
  <c r="Q61" i="22" s="1"/>
  <c r="Q62" i="22" s="1"/>
  <c r="P50" i="22"/>
  <c r="P52" i="22" s="1"/>
  <c r="Q49" i="22" s="1"/>
  <c r="O51" i="22"/>
  <c r="Q38" i="22"/>
  <c r="Q39" i="22" s="1"/>
  <c r="G33" i="69"/>
  <c r="F46" i="22"/>
  <c r="F65" i="22"/>
  <c r="E13" i="69" s="1"/>
  <c r="E15" i="69" s="1"/>
  <c r="N46" i="22"/>
  <c r="N45" i="22"/>
  <c r="G67" i="22"/>
  <c r="H45" i="22"/>
  <c r="F11" i="23"/>
  <c r="E11" i="23" s="1"/>
  <c r="P51" i="22" l="1"/>
  <c r="Q40" i="22"/>
  <c r="R37" i="22" s="1"/>
  <c r="R38" i="22" s="1"/>
  <c r="Q63" i="22"/>
  <c r="Q50" i="22"/>
  <c r="Q52" i="22" s="1"/>
  <c r="R49" i="22" s="1"/>
  <c r="Q64" i="22"/>
  <c r="R61" i="22" s="1"/>
  <c r="N67" i="22"/>
  <c r="H67" i="22"/>
  <c r="I45" i="22"/>
  <c r="I67" i="22" s="1"/>
  <c r="G43" i="22"/>
  <c r="F68" i="22"/>
  <c r="O43" i="22"/>
  <c r="N68" i="22"/>
  <c r="G11" i="23"/>
  <c r="C12" i="23" s="1"/>
  <c r="H33" i="69"/>
  <c r="Q51" i="22" l="1"/>
  <c r="R40" i="22"/>
  <c r="R39" i="22"/>
  <c r="R50" i="22"/>
  <c r="R62" i="22"/>
  <c r="R63" i="22" s="1"/>
  <c r="O44" i="22"/>
  <c r="O46" i="22" s="1"/>
  <c r="O65" i="22"/>
  <c r="D12" i="23"/>
  <c r="G46" i="22"/>
  <c r="G65" i="22"/>
  <c r="F13" i="69" s="1"/>
  <c r="F15" i="69" s="1"/>
  <c r="R51" i="22" l="1"/>
  <c r="R64" i="22"/>
  <c r="R52" i="22"/>
  <c r="P43" i="22"/>
  <c r="O68" i="22"/>
  <c r="G68" i="22"/>
  <c r="H43" i="22"/>
  <c r="F12" i="23"/>
  <c r="E12" i="23" s="1"/>
  <c r="O66" i="22"/>
  <c r="E97" i="22" s="1"/>
  <c r="O45" i="22"/>
  <c r="O67" i="22" l="1"/>
  <c r="P44" i="22"/>
  <c r="P66" i="22" s="1"/>
  <c r="F97" i="22" s="1"/>
  <c r="P65" i="22"/>
  <c r="G12" i="23"/>
  <c r="C13" i="23" s="1"/>
  <c r="H65" i="22"/>
  <c r="G13" i="69" s="1"/>
  <c r="G15" i="69" s="1"/>
  <c r="H46" i="22"/>
  <c r="P46" i="22" l="1"/>
  <c r="Q43" i="22" s="1"/>
  <c r="D13" i="23"/>
  <c r="H68" i="22"/>
  <c r="I43" i="22"/>
  <c r="P45" i="22"/>
  <c r="P68" i="22" l="1"/>
  <c r="P67" i="22"/>
  <c r="I46" i="22"/>
  <c r="I68" i="22" s="1"/>
  <c r="I65" i="22"/>
  <c r="H13" i="69" s="1"/>
  <c r="H15" i="69" s="1"/>
  <c r="F13" i="23"/>
  <c r="E13" i="23" s="1"/>
  <c r="Q44" i="22"/>
  <c r="Q66" i="22" s="1"/>
  <c r="G97" i="22" s="1"/>
  <c r="Q65" i="22"/>
  <c r="Q46" i="22" l="1"/>
  <c r="G13" i="23"/>
  <c r="C14" i="23" s="1"/>
  <c r="Q45" i="22"/>
  <c r="Q68" i="22" l="1"/>
  <c r="R43" i="22"/>
  <c r="D14" i="23"/>
  <c r="Q67" i="22"/>
  <c r="F14" i="23" l="1"/>
  <c r="E14" i="23" s="1"/>
  <c r="R44" i="22"/>
  <c r="R46" i="22" s="1"/>
  <c r="R68" i="22" s="1"/>
  <c r="R65" i="22"/>
  <c r="G14" i="23" l="1"/>
  <c r="C15" i="23" s="1"/>
  <c r="R66" i="22"/>
  <c r="H97" i="22" s="1"/>
  <c r="R45" i="22"/>
  <c r="R67" i="22" s="1"/>
  <c r="D15" i="23" l="1"/>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B47" i="21" l="1"/>
  <c r="B49" i="21" s="1"/>
  <c r="C112" i="29"/>
  <c r="C114" i="29" s="1"/>
  <c r="C25" i="68"/>
  <c r="G21" i="23"/>
  <c r="C22" i="23" l="1"/>
  <c r="B28" i="69"/>
  <c r="B31" i="69" s="1"/>
  <c r="C116" i="29"/>
  <c r="C118" i="29" s="1"/>
  <c r="B95" i="22"/>
  <c r="B98" i="22" s="1"/>
  <c r="B99" i="22" s="1"/>
  <c r="B50" i="21" s="1"/>
  <c r="C29" i="68" s="1"/>
  <c r="C30" i="68" s="1"/>
  <c r="C31" i="68" s="1"/>
  <c r="C33" i="68" s="1"/>
  <c r="J40" i="21"/>
  <c r="J42" i="21" s="1"/>
  <c r="D32" i="68" l="1"/>
  <c r="B8" i="69"/>
  <c r="B11" i="69" s="1"/>
  <c r="B20" i="69" s="1"/>
  <c r="B51" i="21"/>
  <c r="D22" i="23"/>
  <c r="C80" i="29" l="1"/>
  <c r="B53" i="21"/>
  <c r="D9" i="29"/>
  <c r="D14" i="29" s="1"/>
  <c r="D95" i="29"/>
  <c r="D98" i="29" s="1"/>
  <c r="D99" i="29" s="1"/>
  <c r="C58" i="29"/>
  <c r="C63" i="29" s="1"/>
  <c r="C67" i="29" s="1"/>
  <c r="E22" i="23"/>
  <c r="D15" i="29" l="1"/>
  <c r="G22" i="23"/>
  <c r="C23" i="23" s="1"/>
  <c r="B37" i="69"/>
  <c r="B39" i="69" s="1"/>
  <c r="D23" i="23" l="1"/>
  <c r="C36" i="69"/>
  <c r="B41" i="69"/>
  <c r="B43" i="69" s="1"/>
  <c r="B46" i="69" s="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47" i="21" l="1"/>
  <c r="C49" i="21" s="1"/>
  <c r="D112" i="29"/>
  <c r="D114" i="29" s="1"/>
  <c r="D25" i="68"/>
  <c r="G33" i="23"/>
  <c r="D116" i="29" l="1"/>
  <c r="D118" i="29" s="1"/>
  <c r="C34" i="23"/>
  <c r="C28" i="69"/>
  <c r="C31" i="69" s="1"/>
  <c r="C95" i="22"/>
  <c r="C98" i="22" s="1"/>
  <c r="C99" i="22" s="1"/>
  <c r="C50" i="21" s="1"/>
  <c r="D29" i="68" s="1"/>
  <c r="D30" i="68" s="1"/>
  <c r="D31" i="68" s="1"/>
  <c r="D33" i="68" s="1"/>
  <c r="E32" i="68" l="1"/>
  <c r="C8" i="69"/>
  <c r="C11" i="69" s="1"/>
  <c r="C20" i="69" s="1"/>
  <c r="C51" i="21"/>
  <c r="D34" i="23"/>
  <c r="E34" i="23" l="1"/>
  <c r="D80" i="29"/>
  <c r="C37" i="69"/>
  <c r="C39" i="69" s="1"/>
  <c r="E9" i="29"/>
  <c r="E14" i="29" s="1"/>
  <c r="D58" i="29"/>
  <c r="D63" i="29" s="1"/>
  <c r="D67" i="29" s="1"/>
  <c r="E95" i="29"/>
  <c r="E98" i="29" s="1"/>
  <c r="E99" i="29" s="1"/>
  <c r="C53" i="21"/>
  <c r="E15" i="29" l="1"/>
  <c r="D36" i="69"/>
  <c r="C41" i="69"/>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12" i="29" l="1"/>
  <c r="E114" i="29" s="1"/>
  <c r="D47" i="21"/>
  <c r="D49" i="21" s="1"/>
  <c r="E25" i="68"/>
  <c r="G45" i="23"/>
  <c r="E116" i="29" l="1"/>
  <c r="E118" i="29" s="1"/>
  <c r="D95" i="22"/>
  <c r="D98" i="22" s="1"/>
  <c r="D99" i="22" s="1"/>
  <c r="D50" i="21" s="1"/>
  <c r="E29" i="68" s="1"/>
  <c r="E30" i="68" s="1"/>
  <c r="E31" i="68" s="1"/>
  <c r="E33" i="68" s="1"/>
  <c r="C46" i="23"/>
  <c r="D28" i="69"/>
  <c r="D31" i="69" s="1"/>
  <c r="D8" i="69" l="1"/>
  <c r="D11" i="69" s="1"/>
  <c r="D20" i="69" s="1"/>
  <c r="F32" i="68"/>
  <c r="D46" i="23"/>
  <c r="D51" i="21"/>
  <c r="E46" i="23" l="1"/>
  <c r="E80" i="29"/>
  <c r="F9" i="29"/>
  <c r="F14" i="29" s="1"/>
  <c r="F95" i="29"/>
  <c r="F98" i="29" s="1"/>
  <c r="F99" i="29" s="1"/>
  <c r="E58" i="29"/>
  <c r="E63" i="29" s="1"/>
  <c r="E67" i="29" s="1"/>
  <c r="D37" i="69"/>
  <c r="D39" i="69" s="1"/>
  <c r="D53" i="21"/>
  <c r="G46" i="23" l="1"/>
  <c r="C47" i="23" s="1"/>
  <c r="E36" i="69"/>
  <c r="D41" i="69"/>
  <c r="D43" i="69" s="1"/>
  <c r="D46" i="69" s="1"/>
  <c r="F15" i="29"/>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F112" i="29" l="1"/>
  <c r="F114" i="29" s="1"/>
  <c r="E47" i="21"/>
  <c r="E49" i="21" s="1"/>
  <c r="F25" i="68"/>
  <c r="G57" i="23"/>
  <c r="F116" i="29" l="1"/>
  <c r="F118" i="29" s="1"/>
  <c r="E28" i="69"/>
  <c r="E31" i="69" s="1"/>
  <c r="C58" i="23"/>
  <c r="E95" i="22"/>
  <c r="E98" i="22" s="1"/>
  <c r="E99" i="22" s="1"/>
  <c r="E50" i="21" s="1"/>
  <c r="F29" i="68" s="1"/>
  <c r="F30" i="68" s="1"/>
  <c r="F31" i="68" s="1"/>
  <c r="F33" i="68" s="1"/>
  <c r="E8" i="69" l="1"/>
  <c r="E11" i="69" s="1"/>
  <c r="E20" i="69" s="1"/>
  <c r="G32" i="68"/>
  <c r="D58" i="23"/>
  <c r="E51" i="21"/>
  <c r="F80" i="29" l="1"/>
  <c r="E37" i="69"/>
  <c r="E39" i="69" s="1"/>
  <c r="G9" i="29"/>
  <c r="G14" i="29" s="1"/>
  <c r="G95" i="29"/>
  <c r="G98" i="29" s="1"/>
  <c r="G99" i="29" s="1"/>
  <c r="F58" i="29"/>
  <c r="F63" i="29" s="1"/>
  <c r="F67" i="29" s="1"/>
  <c r="E53" i="21"/>
  <c r="E58" i="23"/>
  <c r="G58" i="23" l="1"/>
  <c r="C59" i="23" s="1"/>
  <c r="F36" i="69"/>
  <c r="E41" i="69"/>
  <c r="E43" i="69" s="1"/>
  <c r="E46" i="69" s="1"/>
  <c r="G15" i="29"/>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112" i="29"/>
  <c r="G114" i="29" s="1"/>
  <c r="G25" i="68"/>
  <c r="G69" i="23"/>
  <c r="C70" i="23" l="1"/>
  <c r="F28" i="69"/>
  <c r="F31" i="69" s="1"/>
  <c r="G116" i="29"/>
  <c r="G118" i="29" s="1"/>
  <c r="F95" i="22"/>
  <c r="F98" i="22" s="1"/>
  <c r="F99" i="22" s="1"/>
  <c r="F50" i="21" s="1"/>
  <c r="G29" i="68" s="1"/>
  <c r="G30" i="68" s="1"/>
  <c r="G31" i="68" s="1"/>
  <c r="G33" i="68" s="1"/>
  <c r="H32" i="68" l="1"/>
  <c r="F8" i="69"/>
  <c r="F11" i="69" s="1"/>
  <c r="F20" i="69" s="1"/>
  <c r="F51" i="21"/>
  <c r="D70" i="23"/>
  <c r="E70" i="23" l="1"/>
  <c r="G80" i="29"/>
  <c r="H95" i="29"/>
  <c r="H98" i="29" s="1"/>
  <c r="G58" i="29"/>
  <c r="G63" i="29" s="1"/>
  <c r="G67" i="29" s="1"/>
  <c r="F37" i="69"/>
  <c r="F39" i="69" s="1"/>
  <c r="H9" i="29"/>
  <c r="H14" i="29" s="1"/>
  <c r="F53" i="21"/>
  <c r="H99" i="29" l="1"/>
  <c r="D101" i="29"/>
  <c r="D32" i="62" s="1"/>
  <c r="H15" i="29"/>
  <c r="G70" i="23"/>
  <c r="C71" i="23" s="1"/>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112" i="29" l="1"/>
  <c r="H114" i="29" s="1"/>
  <c r="G47" i="21"/>
  <c r="G49" i="21" s="1"/>
  <c r="H25" i="68"/>
  <c r="G81" i="23"/>
  <c r="G28" i="69" l="1"/>
  <c r="G31" i="69" s="1"/>
  <c r="C82" i="23"/>
  <c r="H116" i="29"/>
  <c r="H118" i="29" s="1"/>
  <c r="G95" i="22"/>
  <c r="G98" i="22" s="1"/>
  <c r="G99" i="22" s="1"/>
  <c r="G50" i="21" s="1"/>
  <c r="H29" i="68" s="1"/>
  <c r="H30" i="68" s="1"/>
  <c r="H31" i="68" s="1"/>
  <c r="H33" i="68" s="1"/>
  <c r="I32" i="68" l="1"/>
  <c r="G8" i="69"/>
  <c r="G11" i="69" s="1"/>
  <c r="G20" i="69" s="1"/>
  <c r="D82" i="23"/>
  <c r="G51" i="21"/>
  <c r="H80" i="29" l="1"/>
  <c r="I95" i="29"/>
  <c r="I98" i="29" s="1"/>
  <c r="H58" i="29"/>
  <c r="H63" i="29" s="1"/>
  <c r="H67" i="29" s="1"/>
  <c r="I9" i="29"/>
  <c r="I14" i="29" s="1"/>
  <c r="G37" i="69"/>
  <c r="G39" i="69" s="1"/>
  <c r="G53" i="21"/>
  <c r="E82" i="23"/>
  <c r="H36" i="69" l="1"/>
  <c r="G41" i="69"/>
  <c r="G43" i="69" s="1"/>
  <c r="G46" i="69" s="1"/>
  <c r="G82" i="23"/>
  <c r="C83" i="23" s="1"/>
  <c r="I15" i="29"/>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12" i="29" l="1"/>
  <c r="I114" i="29" s="1"/>
  <c r="H47" i="21"/>
  <c r="H49" i="21" s="1"/>
  <c r="E94" i="23"/>
  <c r="I25" i="68"/>
  <c r="G93" i="23"/>
  <c r="I116" i="29" l="1"/>
  <c r="I118" i="29" s="1"/>
  <c r="C120" i="29" s="1"/>
  <c r="D33" i="62" s="1"/>
  <c r="H95" i="22"/>
  <c r="H98" i="22" s="1"/>
  <c r="H99" i="22" s="1"/>
  <c r="H50" i="21" s="1"/>
  <c r="I29" i="68" s="1"/>
  <c r="I30" i="68" s="1"/>
  <c r="I31" i="68" s="1"/>
  <c r="I33" i="68" s="1"/>
  <c r="H8" i="69" s="1"/>
  <c r="H11" i="69" s="1"/>
  <c r="H20" i="69" s="1"/>
  <c r="H51" i="21" l="1"/>
  <c r="I80" i="29" l="1"/>
  <c r="J95" i="29"/>
  <c r="J98" i="29" s="1"/>
  <c r="H37" i="69"/>
  <c r="H39" i="69" s="1"/>
  <c r="H41" i="69" s="1"/>
  <c r="H43" i="69" s="1"/>
  <c r="H46" i="69" s="1"/>
  <c r="J9" i="29"/>
  <c r="J14" i="29" s="1"/>
  <c r="I58" i="29"/>
  <c r="I63" i="29" s="1"/>
  <c r="I67" i="29" s="1"/>
  <c r="C69" i="29" s="1"/>
  <c r="C73" i="29" s="1"/>
  <c r="D31" i="62" s="1"/>
  <c r="H53" i="21"/>
  <c r="C82" i="29" l="1"/>
  <c r="C85" i="29" s="1"/>
  <c r="D29" i="62" s="1"/>
  <c r="J15" i="29"/>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<sst xmlns="http://schemas.openxmlformats.org/spreadsheetml/2006/main" count="1455" uniqueCount="745">
  <si>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</si>
  <si>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</si>
  <si>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</si>
  <si>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</si>
  <si>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</si>
  <si>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</si>
  <si>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</si>
  <si>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</si>
  <si>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</si>
  <si>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</si>
  <si>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</si>
  <si>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</si>
  <si>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</si>
  <si>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</si>
  <si>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</si>
  <si>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</si>
  <si>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</si>
  <si>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</si>
  <si>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</si>
  <si>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</si>
  <si>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</si>
  <si>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</si>
  <si>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</si>
  <si>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</si>
  <si>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</si>
  <si>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</si>
  <si>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</si>
  <si>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</si>
  <si>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</si>
  <si>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</si>
  <si>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</si>
  <si>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</si>
  <si>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</si>
  <si>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</si>
  <si>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</si>
  <si>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</si>
  <si>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</si>
  <si>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</si>
  <si>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</si>
  <si>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</si>
  <si>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</si>
  <si>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</si>
  <si>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</si>
  <si>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</si>
  <si>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</si>
  <si>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</si>
  <si>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</si>
  <si>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</si>
  <si>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</si>
  <si>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</si>
  <si>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</si>
  <si>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</si>
  <si>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</si>
  <si>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</si>
  <si>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</si>
  <si>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</si>
  <si>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</si>
  <si>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</si>
  <si>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</si>
  <si>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</si>
  <si>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</si>
  <si>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</si>
  <si>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</si>
  <si>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</si>
  <si>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</si>
  <si>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</si>
  <si>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</si>
  <si>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</si>
  <si>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</si>
  <si>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</si>
  <si>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</si>
  <si>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</si>
  <si>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</si>
  <si>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</si>
  <si>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</si>
  <si>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</si>
  <si>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</si>
  <si>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</si>
  <si>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</si>
  <si>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</si>
  <si>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</si>
  <si>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</si>
  <si>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</si>
  <si>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</si>
  <si>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</si>
  <si>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</si>
  <si>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</si>
  <si>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</si>
  <si>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</si>
  <si>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</si>
  <si>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</si>
  <si>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</si>
  <si>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</si>
  <si>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</si>
  <si>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</si>
  <si>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</si>
  <si>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</si>
  <si>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</si>
  <si>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</si>
  <si>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</si>
  <si>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</si>
  <si>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</si>
  <si>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</si>
  <si>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</si>
  <si>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</si>
  <si>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</si>
  <si>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</si>
  <si>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</si>
  <si>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</si>
  <si>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</si>
  <si>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</si>
  <si>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</si>
  <si>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</si>
  <si>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</si>
  <si>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</si>
  <si>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</si>
  <si>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</si>
  <si>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</si>
  <si>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</si>
  <si>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</si>
  <si>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</si>
  <si>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</si>
  <si>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</si>
  <si>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</si>
  <si>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</si>
  <si>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</si>
  <si>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</si>
  <si>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</si>
  <si>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</si>
  <si>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</si>
  <si>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</si>
  <si>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</si>
  <si>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</si>
  <si>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</si>
  <si>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</si>
  <si>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</si>
  <si>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</si>
  <si>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</si>
  <si>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</si>
  <si>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</si>
  <si>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</si>
  <si>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</si>
  <si>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</si>
  <si>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</si>
  <si>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</si>
  <si>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</si>
  <si>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</si>
  <si>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</si>
  <si>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</si>
  <si>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</si>
  <si>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</si>
  <si>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</si>
  <si>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</si>
  <si>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</si>
  <si>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</si>
  <si>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</si>
  <si>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</si>
  <si>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</si>
  <si>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</si>
  <si>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</si>
  <si>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</si>
  <si>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</si>
  <si>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</si>
  <si>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</si>
  <si>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</si>
  <si>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</si>
  <si>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</si>
  <si>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</si>
  <si>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</si>
  <si>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</si>
  <si>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</si>
  <si>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</si>
  <si>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</si>
  <si>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</si>
  <si>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</si>
  <si>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</si>
  <si>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</si>
  <si>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</si>
  <si>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</si>
  <si>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</si>
  <si>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</si>
  <si>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</si>
  <si>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</si>
  <si>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</si>
  <si>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</si>
  <si>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</si>
  <si>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</si>
  <si>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</si>
  <si>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</si>
  <si>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</si>
  <si>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</si>
  <si>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</si>
  <si>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</si>
  <si>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</si>
  <si>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</si>
  <si>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</si>
  <si>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</si>
  <si>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</si>
  <si>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</si>
  <si>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</si>
  <si>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</si>
  <si>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</si>
  <si>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</si>
  <si>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</si>
  <si>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</si>
  <si>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</si>
  <si>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</si>
  <si>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</si>
  <si>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</si>
  <si>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</si>
  <si>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</si>
  <si>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</si>
  <si>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</si>
  <si>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</si>
  <si>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</si>
  <si>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</si>
  <si>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</si>
  <si>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</si>
  <si>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</si>
  <si>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</si>
  <si>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</si>
  <si>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</si>
  <si>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</si>
  <si>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</si>
  <si>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</si>
  <si>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</si>
  <si>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</si>
  <si>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</si>
  <si>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</si>
  <si>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</si>
  <si>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</si>
  <si>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</si>
  <si>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</si>
  <si>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</si>
  <si>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</si>
  <si>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</si>
  <si>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</si>
  <si>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</si>
  <si>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</si>
  <si>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</si>
  <si>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</si>
  <si>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</si>
  <si>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</si>
  <si>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</si>
  <si>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</si>
  <si>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</si>
  <si>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</si>
  <si>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</si>
  <si>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</si>
  <si>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</si>
  <si>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</si>
  <si>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</si>
  <si>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</si>
  <si>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</si>
  <si>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</si>
  <si>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</si>
  <si>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</si>
  <si>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</si>
  <si>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</si>
  <si>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</si>
  <si>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</si>
  <si>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</si>
  <si>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</si>
  <si>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</si>
  <si>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</si>
  <si>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</si>
  <si>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</si>
  <si>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</si>
  <si>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</si>
  <si>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</si>
  <si>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</si>
  <si>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</si>
  <si>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</si>
  <si>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</si>
  <si>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</si>
  <si>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</si>
  <si>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</si>
  <si>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</si>
  <si>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</si>
  <si>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</si>
  <si>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</si>
  <si>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</si>
  <si>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</si>
  <si>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</si>
  <si>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</si>
  <si>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</si>
  <si>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</si>
  <si>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</si>
  <si>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</si>
  <si>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</si>
  <si>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</si>
  <si>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</si>
  <si>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</si>
  <si>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</si>
  <si>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</si>
  <si>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</si>
  <si>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</si>
  <si>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</si>
  <si>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</si>
  <si>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</si>
  <si>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</si>
  <si>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</si>
  <si>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</si>
  <si>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</si>
  <si>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</si>
  <si>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</si>
  <si>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</si>
  <si>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</si>
  <si>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</si>
  <si>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</si>
  <si>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</si>
  <si>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</si>
  <si>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</si>
  <si>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</si>
  <si>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</si>
  <si>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</si>
  <si>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</si>
  <si>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</si>
  <si>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</si>
  <si>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</si>
  <si>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</si>
  <si>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</si>
  <si>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</si>
  <si>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</si>
  <si>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</si>
  <si>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</si>
  <si>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</si>
  <si>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</si>
  <si>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</si>
  <si>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</si>
  <si>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</si>
  <si>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</si>
  <si>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</si>
  <si>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</si>
  <si>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</si>
  <si>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</si>
  <si>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</si>
  <si>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</si>
  <si>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</si>
  <si>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</si>
  <si>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</si>
  <si>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</si>
  <si>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</si>
  <si>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</si>
  <si>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</si>
  <si>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</si>
  <si>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</si>
  <si>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</si>
  <si>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</si>
  <si>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</si>
  <si>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</si>
  <si>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</si>
  <si>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</si>
  <si>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</si>
  <si>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</si>
  <si>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</si>
  <si>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</si>
  <si>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</si>
  <si>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</si>
  <si>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</si>
  <si>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</si>
  <si>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</si>
  <si>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</si>
  <si>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</si>
  <si>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</si>
  <si>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</si>
  <si>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</si>
  <si>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</si>
  <si>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</si>
  <si>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</si>
  <si>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</si>
  <si>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</si>
  <si>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</si>
  <si>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</si>
  <si>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</si>
  <si>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</si>
  <si>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</si>
  <si>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</si>
  <si>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</si>
  <si>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</si>
  <si>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</si>
  <si>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</si>
  <si>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</si>
  <si>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</si>
  <si>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</si>
  <si>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</si>
  <si>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</si>
  <si>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</si>
  <si>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</si>
  <si>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</si>
  <si>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</si>
  <si>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</si>
  <si>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</si>
  <si>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</si>
  <si>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</si>
  <si>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</si>
  <si>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</si>
  <si>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</si>
  <si>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</si>
  <si>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</si>
  <si>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</si>
  <si>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</si>
  <si>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</si>
  <si>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</si>
  <si>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</si>
  <si>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</si>
  <si>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</si>
  <si>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</si>
  <si>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</si>
  <si>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</si>
  <si>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</si>
  <si>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</si>
  <si>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</si>
  <si>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</si>
  <si>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</si>
  <si>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</si>
  <si>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</si>
  <si>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</si>
  <si>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</si>
  <si>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</si>
  <si>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</si>
  <si>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</si>
  <si>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</si>
  <si>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</si>
  <si>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</si>
  <si>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</si>
  <si>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</si>
  <si>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</si>
  <si>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</si>
  <si>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</si>
  <si>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</si>
  <si>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</si>
  <si>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</si>
  <si>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</si>
  <si>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</si>
  <si>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</si>
  <si>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</si>
  <si>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</si>
  <si>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</si>
  <si>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</si>
  <si>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</si>
  <si>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</si>
  <si>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</si>
  <si>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</si>
  <si>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</si>
  <si>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</si>
  <si>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</si>
  <si>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</si>
  <si>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</si>
  <si>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</si>
  <si>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</si>
  <si>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</si>
  <si>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</si>
  <si>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</si>
  <si>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</si>
  <si>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</si>
  <si>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</si>
  <si>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</si>
  <si>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</si>
  <si>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</si>
  <si>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</si>
  <si>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</si>
  <si>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</si>
  <si>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</si>
  <si>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</si>
  <si>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</si>
  <si>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</si>
  <si>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</si>
  <si>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</si>
  <si>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</si>
  <si>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</si>
  <si>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</si>
  <si>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</si>
  <si>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</si>
  <si>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</si>
  <si>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</si>
  <si>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</si>
  <si>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</si>
  <si>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</si>
  <si>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</si>
  <si>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</si>
  <si>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</si>
  <si>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</si>
  <si>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</si>
  <si>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</si>
  <si>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</si>
  <si>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</si>
  <si>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</si>
  <si>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</si>
  <si>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</si>
  <si>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</si>
  <si>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</si>
  <si>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</si>
  <si>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</si>
  <si>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</si>
  <si>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</si>
  <si>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</si>
  <si>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</si>
  <si>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</si>
  <si>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</si>
  <si>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</si>
  <si>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</si>
  <si>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</si>
  <si>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</si>
  <si>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</si>
  <si>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</si>
  <si>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</si>
  <si>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</si>
  <si>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</si>
  <si>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</si>
  <si>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</si>
  <si>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</si>
  <si>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</si>
  <si>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</si>
  <si>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</si>
  <si>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</si>
  <si>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</si>
  <si>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</si>
  <si>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</si>
  <si>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</si>
  <si>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</si>
  <si>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</si>
  <si>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</si>
  <si>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</si>
  <si>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</si>
  <si>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</si>
  <si>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</si>
  <si>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</si>
  <si>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</si>
  <si>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</si>
  <si>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</si>
  <si>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</si>
  <si>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</si>
  <si>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</si>
  <si>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</si>
  <si>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</si>
  <si>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</si>
  <si>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</si>
  <si>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</si>
  <si>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</si>
  <si>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</si>
  <si>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</si>
  <si>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</si>
  <si>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</si>
  <si>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</si>
  <si>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</si>
  <si>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</si>
  <si>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</si>
  <si>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</si>
  <si>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</si>
  <si>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</si>
  <si>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</si>
  <si>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</si>
  <si>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</si>
  <si>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</si>
  <si>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</si>
  <si>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</si>
  <si>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</si>
  <si>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</si>
  <si>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</si>
  <si>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</si>
  <si>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</si>
  <si>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</si>
  <si>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</si>
  <si>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</si>
  <si>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</si>
  <si>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</si>
  <si>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</si>
  <si>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</si>
  <si>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</si>
  <si>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</si>
  <si>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</si>
  <si>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</si>
  <si>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</si>
  <si>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</si>
  <si>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</si>
  <si>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</si>
  <si>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</si>
  <si>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</si>
  <si>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</si>
  <si>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</si>
  <si>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</si>
  <si>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</si>
  <si>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</si>
  <si>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</si>
  <si>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</si>
  <si>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</si>
  <si>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</si>
  <si>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</si>
  <si>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</si>
  <si>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</si>
  <si>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</si>
  <si>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</si>
  <si>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</si>
  <si>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</si>
  <si>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</si>
  <si>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</si>
  <si>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</si>
  <si>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</si>
  <si>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</si>
  <si>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</si>
  <si>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</si>
  <si>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</si>
  <si>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</si>
  <si>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</si>
  <si>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</si>
  <si>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</si>
  <si>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</si>
  <si>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</si>
  <si>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</si>
  <si>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</si>
  <si>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</si>
  <si>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</si>
  <si>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</si>
  <si>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</si>
  <si>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</si>
  <si>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</si>
  <si>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</si>
  <si>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</si>
  <si>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</si>
  <si>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</si>
  <si>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</si>
  <si>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</si>
  <si>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</si>
  <si>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</si>
  <si>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</si>
  <si>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</si>
  <si>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</si>
  <si>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</si>
  <si>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</si>
  <si>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</si>
  <si>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</si>
  <si>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</si>
  <si>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</si>
  <si>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</si>
  <si>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</si>
  <si>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</si>
  <si>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</si>
  <si>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</si>
  <si>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</si>
  <si>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</si>
  <si>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</si>
  <si>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</si>
  <si>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</si>
  <si>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</si>
  <si>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</si>
  <si>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</si>
  <si>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</si>
  <si>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</si>
  <si>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</si>
  <si>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</si>
  <si>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</si>
  <si>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</si>
  <si>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</si>
  <si>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</si>
  <si>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</si>
  <si>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</si>
  <si>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</si>
  <si>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</si>
  <si>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</si>
  <si>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</si>
  <si>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</si>
  <si>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</si>
  <si>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</si>
  <si>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</si>
  <si>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</si>
  <si>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</si>
  <si>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</si>
  <si>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</si>
  <si>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</si>
  <si>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</si>
  <si>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</si>
  <si>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</si>
  <si>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</si>
  <si>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</si>
  <si>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</si>
  <si>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</si>
  <si>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</si>
  <si>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</si>
  <si>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</si>
  <si>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</si>
  <si>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</si>
  <si>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</si>
  <si>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</si>
  <si>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</si>
  <si>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</si>
  <si>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</si>
  <si>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</si>
  <si>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</si>
  <si>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</si>
  <si>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</si>
  <si>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</si>
  <si>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</si>
  <si>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</si>
  <si>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</si>
  <si>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</si>
  <si>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</si>
  <si>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</si>
  <si>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</si>
  <si>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</si>
  <si>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</si>
  <si>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</si>
  <si>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</si>
  <si>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</si>
  <si>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</si>
  <si>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</si>
  <si>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</si>
  <si>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</si>
  <si>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</si>
  <si>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</si>
  <si>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</si>
  <si>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 xml:space="preserve"> </t>
  </si>
  <si>
    <t xml:space="preserve"> Cleaning Process &amp; Sortex Dal Plant</t>
  </si>
  <si>
    <t xml:space="preserve">Civil Work </t>
  </si>
  <si>
    <t xml:space="preserve">Watchmen cabin &amp; Compound wall </t>
  </si>
  <si>
    <t>HT Line &amp; 200 KVA Transformer work</t>
  </si>
  <si>
    <t>Project prepration cost</t>
  </si>
  <si>
    <t>Helper</t>
  </si>
  <si>
    <t>Intwerest on STL</t>
  </si>
  <si>
    <t>Waigh Bridge</t>
  </si>
  <si>
    <t>100 MT</t>
  </si>
  <si>
    <t xml:space="preserve">Mtra </t>
  </si>
  <si>
    <t>Destoner</t>
  </si>
  <si>
    <t>Drum Sieve</t>
  </si>
  <si>
    <t>Gravity seprator</t>
  </si>
  <si>
    <t>Round Grader</t>
  </si>
  <si>
    <t>Elevator</t>
  </si>
  <si>
    <t>Roll Petty</t>
  </si>
  <si>
    <t>Fan</t>
  </si>
  <si>
    <t>Cyclone</t>
  </si>
  <si>
    <t>Mana</t>
  </si>
  <si>
    <t>Air Lock</t>
  </si>
  <si>
    <t>MagnetBox</t>
  </si>
  <si>
    <t>Intake Hopper</t>
  </si>
  <si>
    <t>Fatka Machine</t>
  </si>
  <si>
    <t>Pulvarizor Machine</t>
  </si>
  <si>
    <t>Aspiration Box</t>
  </si>
  <si>
    <t>Oil damper</t>
  </si>
  <si>
    <t>Sortex Bins</t>
  </si>
  <si>
    <t>Slide Gate</t>
  </si>
  <si>
    <t>Screw Waram</t>
  </si>
  <si>
    <t>Polisher</t>
  </si>
  <si>
    <t>Aspiration And spouting</t>
  </si>
  <si>
    <t>Fitting charge</t>
  </si>
  <si>
    <t>Comas Colours Sorter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</si>
</sst>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26"/>
      <color theme="1"/>
      <name val="Calibri"/>
      <family val="2"/>
      <scheme val="minor"/>
    </font>
    <font>
      <b/>
      <sz val="26"/>
      <color theme="1"/>
      <name val="Times New Roman"/>
      <family val="1"/>
    </font>
    <font>
      <b/>
      <sz val="26"/>
      <color rgb="FFFFFFFF"/>
      <name val="Times New Roman"/>
      <family val="1"/>
    </font>
    <font>
      <sz val="26"/>
      <name val="Times New Roman"/>
      <family val="1"/>
    </font>
    <font>
      <sz val="26"/>
      <color theme="1"/>
      <name val="Times New Roman"/>
      <family val="1"/>
    </font>
    <font>
      <b/>
      <sz val="26"/>
      <color theme="1"/>
      <name val="Calibri"/>
      <family val="2"/>
      <scheme val="minor"/>
    </font>
    <font>
      <sz val="26"/>
      <color rgb="FF000000"/>
      <name val="Times New Roman"/>
      <family val="1"/>
    </font>
    <font>
      <b/>
      <sz val="26"/>
      <color rgb="FF000000"/>
      <name val="Times New Roman"/>
      <family val="1"/>
    </font>
    <font>
      <b/>
      <sz val="26"/>
      <color rgb="FFFFFFFF"/>
      <name val="Garamond"/>
      <family val="1"/>
    </font>
    <font>
      <sz val="26"/>
      <color rgb="FF000000"/>
      <name val="Garamond"/>
      <family val="1"/>
    </font>
    <font>
      <b/>
      <sz val="26"/>
      <color rgb="FF000000"/>
      <name val="Garamond"/>
      <family val="1"/>
    </font>
    <font>
      <b/>
      <sz val="26"/>
      <color rgb="FF202124"/>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43" fontId="17"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3"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6" fillId="0" borderId="0" xfId="0" applyNumberFormat="1" applyFont="1" applyFill="1" applyBorder="1"/>
    <xf numFmtId="38" fontId="13" fillId="0" borderId="0" xfId="0" applyNumberFormat="1" applyFont="1" applyFill="1" applyBorder="1" applyAlignment="1">
      <alignment horizontal="left"/>
    </xf>
    <xf numFmtId="0" fontId="16" fillId="0" borderId="0" xfId="0" applyFont="1" applyFill="1" applyBorder="1"/>
    <xf numFmtId="0" fontId="18" fillId="0" borderId="0" xfId="8" applyFont="1" applyFill="1" applyBorder="1" applyAlignment="1" applyProtection="1"/>
    <xf numFmtId="0" fontId="17" fillId="0" borderId="11" xfId="0" applyFont="1" applyBorder="1"/>
    <xf numFmtId="174" fontId="13" fillId="0" borderId="0" xfId="9" applyNumberFormat="1" applyFont="1" applyFill="1" applyBorder="1" applyAlignment="1">
      <alignment vertical="center"/>
    </xf>
    <xf numFmtId="167" fontId="16" fillId="0" borderId="0" xfId="3" applyNumberFormat="1" applyFont="1" applyFill="1" applyBorder="1"/>
    <xf numFmtId="0" fontId="13"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6" fillId="0" borderId="0" xfId="0" applyFont="1" applyBorder="1" applyAlignment="1">
      <alignment vertical="center"/>
    </xf>
    <xf numFmtId="0" fontId="16" fillId="0" borderId="0" xfId="0" applyFont="1" applyFill="1" applyBorder="1" applyAlignment="1">
      <alignment vertical="center"/>
    </xf>
    <xf numFmtId="0" fontId="13" fillId="0" borderId="0" xfId="0" applyFont="1" applyBorder="1" applyAlignment="1">
      <alignment vertical="center"/>
    </xf>
    <xf numFmtId="4" fontId="16" fillId="0" borderId="0" xfId="0" applyNumberFormat="1" applyFont="1" applyBorder="1" applyAlignment="1">
      <alignment vertical="center"/>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6" fillId="0" borderId="0" xfId="0" applyFont="1"/>
    <xf numFmtId="167" fontId="13" fillId="0" borderId="0" xfId="0" applyNumberFormat="1" applyFont="1"/>
    <xf numFmtId="169" fontId="0" fillId="0" borderId="0" xfId="0" applyNumberFormat="1"/>
    <xf numFmtId="3" fontId="16"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2"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19" fillId="0" borderId="0" xfId="0" applyFont="1" applyBorder="1" applyAlignment="1">
      <alignment vertical="center"/>
    </xf>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69" fontId="26" fillId="0" borderId="1" xfId="2" applyNumberFormat="1" applyFont="1" applyBorder="1"/>
    <xf numFmtId="0" fontId="27" fillId="0" borderId="1" xfId="0" applyFont="1" applyBorder="1"/>
    <xf numFmtId="169" fontId="27" fillId="0" borderId="1" xfId="0" applyNumberFormat="1" applyFont="1" applyBorder="1"/>
    <xf numFmtId="0" fontId="26" fillId="0" borderId="1" xfId="0" applyFont="1" applyFill="1" applyBorder="1"/>
    <xf numFmtId="169"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69" fontId="26" fillId="0" borderId="0" xfId="2" applyNumberFormat="1" applyFont="1"/>
    <xf numFmtId="0" fontId="23" fillId="5" borderId="1" xfId="0" applyFont="1" applyFill="1" applyBorder="1"/>
    <xf numFmtId="9" fontId="26" fillId="0" borderId="1" xfId="1" applyFont="1" applyBorder="1"/>
    <xf numFmtId="169"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4" fillId="0" borderId="0" xfId="6" applyFont="1" applyFill="1" applyBorder="1" applyAlignment="1">
      <alignment horizontal="center"/>
    </xf>
    <xf numFmtId="0" fontId="14"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7"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7" fontId="28" fillId="0" borderId="1" xfId="3" applyNumberFormat="1" applyFont="1" applyFill="1" applyBorder="1"/>
    <xf numFmtId="0" fontId="29" fillId="0" borderId="1" xfId="0" applyFont="1" applyBorder="1"/>
    <xf numFmtId="0" fontId="28" fillId="0" borderId="1" xfId="0" applyFont="1" applyBorder="1"/>
    <xf numFmtId="167"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7" fontId="28" fillId="0" borderId="1" xfId="0" applyNumberFormat="1" applyFont="1" applyFill="1" applyBorder="1"/>
    <xf numFmtId="167"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7"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43" fontId="26" fillId="0" borderId="0" xfId="0" applyNumberFormat="1" applyFont="1" applyBorder="1"/>
    <xf numFmtId="1" fontId="26" fillId="0" borderId="0" xfId="0" applyNumberFormat="1" applyFont="1" applyBorder="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69"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7" fontId="26" fillId="0" borderId="1" xfId="0" applyNumberFormat="1" applyFont="1" applyBorder="1"/>
    <xf numFmtId="167" fontId="27" fillId="0" borderId="1" xfId="3" applyNumberFormat="1" applyFont="1" applyBorder="1"/>
    <xf numFmtId="167" fontId="27" fillId="0" borderId="1" xfId="0" applyNumberFormat="1" applyFont="1" applyBorder="1"/>
    <xf numFmtId="169" fontId="26" fillId="0" borderId="1" xfId="0" applyNumberFormat="1" applyFont="1" applyBorder="1"/>
    <xf numFmtId="43" fontId="26" fillId="0" borderId="0" xfId="0" applyNumberFormat="1" applyFont="1"/>
    <xf numFmtId="167" fontId="26" fillId="0" borderId="1" xfId="3" applyNumberFormat="1" applyFont="1" applyFill="1" applyBorder="1"/>
    <xf numFmtId="167" fontId="26" fillId="0" borderId="1" xfId="0" applyNumberFormat="1" applyFont="1" applyFill="1" applyBorder="1"/>
    <xf numFmtId="167" fontId="26" fillId="0" borderId="0" xfId="0" applyNumberFormat="1" applyFont="1"/>
    <xf numFmtId="169" fontId="26" fillId="0" borderId="16" xfId="2" applyNumberFormat="1" applyFont="1" applyBorder="1"/>
    <xf numFmtId="169" fontId="27" fillId="0" borderId="1" xfId="2" applyNumberFormat="1" applyFont="1" applyBorder="1" applyAlignment="1">
      <alignment wrapText="1"/>
    </xf>
    <xf numFmtId="0" fontId="25" fillId="0" borderId="0" xfId="0" applyFont="1" applyAlignment="1"/>
    <xf numFmtId="165"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69"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26" fillId="6" borderId="1" xfId="0" applyFont="1" applyFill="1" applyBorder="1"/>
    <xf numFmtId="0" fontId="41" fillId="6" borderId="1" xfId="0" applyFont="1" applyFill="1" applyBorder="1" applyAlignment="1">
      <alignment horizontal="center" vertical="center" wrapText="1"/>
    </xf>
    <xf numFmtId="0" fontId="27" fillId="6" borderId="1" xfId="0" applyFont="1" applyFill="1" applyBorder="1"/>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69" fontId="26" fillId="6" borderId="1" xfId="2" applyNumberFormat="1" applyFont="1" applyFill="1" applyBorder="1"/>
    <xf numFmtId="167" fontId="26" fillId="6" borderId="1" xfId="3" applyNumberFormat="1" applyFont="1" applyFill="1" applyBorder="1"/>
    <xf numFmtId="0" fontId="26" fillId="6" borderId="1" xfId="0" applyFont="1" applyFill="1" applyBorder="1" applyAlignment="1">
      <alignment wrapText="1"/>
    </xf>
    <xf numFmtId="169" fontId="26" fillId="6" borderId="1" xfId="2" applyNumberFormat="1" applyFont="1" applyFill="1" applyBorder="1" applyAlignment="1">
      <alignment wrapText="1"/>
    </xf>
    <xf numFmtId="169"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69"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69"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7" fontId="27" fillId="7" borderId="1" xfId="3" applyNumberFormat="1" applyFont="1" applyFill="1" applyBorder="1"/>
    <xf numFmtId="9" fontId="13"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7" fontId="26" fillId="0" borderId="1" xfId="1" applyNumberFormat="1" applyFont="1" applyBorder="1"/>
    <xf numFmtId="43"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applyAlignment="1"/>
    <xf numFmtId="171"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7" fontId="43" fillId="0" borderId="1" xfId="3" applyNumberFormat="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69" fontId="43" fillId="0" borderId="1" xfId="2" applyNumberFormat="1" applyFont="1" applyBorder="1" applyAlignment="1">
      <alignment vertical="center" wrapText="1"/>
    </xf>
    <xf numFmtId="9" fontId="59" fillId="7" borderId="1" xfId="0" applyNumberFormat="1" applyFont="1" applyFill="1" applyBorder="1"/>
    <xf numFmtId="169" fontId="59" fillId="0" borderId="1" xfId="0" applyNumberFormat="1" applyFont="1" applyBorder="1"/>
    <xf numFmtId="0" fontId="59" fillId="0" borderId="1" xfId="0" applyFont="1" applyBorder="1"/>
    <xf numFmtId="169"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67" fillId="0" borderId="0" xfId="0" applyFont="1"/>
    <xf numFmtId="0" fontId="69" fillId="2" borderId="1" xfId="0" applyFont="1" applyFill="1" applyBorder="1" applyAlignment="1">
      <alignment horizontal="center" vertical="center" wrapText="1"/>
    </xf>
    <xf numFmtId="0" fontId="70" fillId="6" borderId="1" xfId="0" applyFont="1" applyFill="1" applyBorder="1" applyAlignment="1">
      <alignment vertical="center" wrapText="1"/>
    </xf>
    <xf numFmtId="0" fontId="70" fillId="0" borderId="1" xfId="0" applyFont="1" applyFill="1" applyBorder="1" applyAlignment="1">
      <alignment horizontal="left" vertical="center" wrapText="1"/>
    </xf>
    <xf numFmtId="0" fontId="70" fillId="0" borderId="1" xfId="0" applyFont="1" applyFill="1" applyBorder="1" applyAlignment="1">
      <alignment horizontal="center" vertical="center" wrapText="1"/>
    </xf>
    <xf numFmtId="166" fontId="70" fillId="0" borderId="1" xfId="3" applyFont="1" applyFill="1" applyBorder="1" applyAlignment="1">
      <alignment horizontal="right" vertical="center" wrapText="1"/>
    </xf>
    <xf numFmtId="0" fontId="71" fillId="6" borderId="1" xfId="0" applyFont="1" applyFill="1" applyBorder="1" applyAlignment="1">
      <alignment vertical="center" wrapText="1"/>
    </xf>
    <xf numFmtId="169" fontId="70" fillId="6" borderId="1" xfId="2" applyNumberFormat="1" applyFont="1" applyFill="1" applyBorder="1" applyAlignment="1">
      <alignment horizontal="left" vertical="center" wrapText="1"/>
    </xf>
    <xf numFmtId="169" fontId="70" fillId="6" borderId="1" xfId="2" applyNumberFormat="1" applyFont="1" applyFill="1" applyBorder="1" applyAlignment="1">
      <alignment vertical="center" wrapText="1"/>
    </xf>
    <xf numFmtId="169" fontId="70" fillId="6" borderId="1" xfId="2" applyNumberFormat="1" applyFont="1" applyFill="1" applyBorder="1" applyAlignment="1">
      <alignment horizontal="right" vertical="center" wrapText="1"/>
    </xf>
    <xf numFmtId="167" fontId="68" fillId="0" borderId="1" xfId="3" applyNumberFormat="1" applyFont="1" applyBorder="1" applyAlignment="1">
      <alignment horizontal="right" vertical="center" wrapText="1"/>
    </xf>
    <xf numFmtId="0" fontId="67" fillId="0" borderId="0" xfId="0" applyFont="1" applyAlignment="1">
      <alignment horizontal="center"/>
    </xf>
    <xf numFmtId="0" fontId="73" fillId="6" borderId="1" xfId="0" applyFont="1" applyFill="1" applyBorder="1" applyAlignment="1">
      <alignment horizontal="center" vertical="center" wrapText="1"/>
    </xf>
    <xf numFmtId="0" fontId="71" fillId="6" borderId="1" xfId="0" applyFont="1" applyFill="1" applyBorder="1"/>
    <xf numFmtId="167" fontId="73" fillId="6" borderId="1" xfId="3" applyNumberFormat="1" applyFont="1" applyFill="1" applyBorder="1" applyAlignment="1">
      <alignment horizontal="right" vertical="center" wrapText="1"/>
    </xf>
    <xf numFmtId="0" fontId="74" fillId="6" borderId="1" xfId="0" applyFont="1" applyFill="1" applyBorder="1" applyAlignment="1">
      <alignment horizontal="center" vertical="center" wrapText="1"/>
    </xf>
    <xf numFmtId="0" fontId="74" fillId="6" borderId="1" xfId="0" applyFont="1" applyFill="1" applyBorder="1" applyAlignment="1">
      <alignment vertical="center" wrapText="1"/>
    </xf>
    <xf numFmtId="169" fontId="74" fillId="6" borderId="1" xfId="2" applyNumberFormat="1" applyFont="1" applyFill="1" applyBorder="1" applyAlignment="1">
      <alignment horizontal="right" vertical="center" wrapText="1"/>
    </xf>
    <xf numFmtId="0" fontId="68" fillId="6" borderId="1" xfId="0" applyFont="1" applyFill="1" applyBorder="1"/>
    <xf numFmtId="167" fontId="74" fillId="6" borderId="1" xfId="3" applyNumberFormat="1" applyFont="1" applyFill="1" applyBorder="1" applyAlignment="1">
      <alignment horizontal="right" vertical="center" wrapText="1"/>
    </xf>
    <xf numFmtId="0" fontId="73" fillId="6" borderId="1" xfId="0" applyFont="1" applyFill="1" applyBorder="1" applyAlignment="1">
      <alignment vertical="center" wrapText="1"/>
    </xf>
    <xf numFmtId="167" fontId="74" fillId="0" borderId="1" xfId="3" applyNumberFormat="1" applyFont="1" applyFill="1" applyBorder="1" applyAlignment="1">
      <alignment horizontal="right" vertical="center" wrapText="1"/>
    </xf>
    <xf numFmtId="166" fontId="67" fillId="0" borderId="0" xfId="0" applyNumberFormat="1" applyFont="1"/>
    <xf numFmtId="166" fontId="67" fillId="0" borderId="0" xfId="3" applyFont="1"/>
    <xf numFmtId="0" fontId="75" fillId="2" borderId="1" xfId="0" applyFont="1" applyFill="1" applyBorder="1" applyAlignment="1">
      <alignment vertical="center" wrapText="1"/>
    </xf>
    <xf numFmtId="0" fontId="75" fillId="2" borderId="1" xfId="0" applyFont="1" applyFill="1" applyBorder="1" applyAlignment="1">
      <alignment horizontal="center" vertical="center" wrapText="1"/>
    </xf>
    <xf numFmtId="0" fontId="76" fillId="6" borderId="1" xfId="0" applyFont="1" applyFill="1" applyBorder="1" applyAlignment="1">
      <alignment horizontal="center" vertical="center" wrapText="1"/>
    </xf>
    <xf numFmtId="0" fontId="76" fillId="6" borderId="1" xfId="0" applyFont="1" applyFill="1" applyBorder="1" applyAlignment="1">
      <alignment vertical="center" wrapText="1"/>
    </xf>
    <xf numFmtId="167" fontId="76" fillId="6" borderId="1" xfId="3" applyNumberFormat="1" applyFont="1" applyFill="1" applyBorder="1" applyAlignment="1">
      <alignment horizontal="center" vertical="center" wrapText="1"/>
    </xf>
    <xf numFmtId="167" fontId="76" fillId="6" borderId="1" xfId="3" applyNumberFormat="1" applyFont="1" applyFill="1" applyBorder="1" applyAlignment="1">
      <alignment horizontal="right" vertical="center" wrapText="1"/>
    </xf>
    <xf numFmtId="167" fontId="77" fillId="0" borderId="1" xfId="3" applyNumberFormat="1" applyFont="1" applyBorder="1" applyAlignment="1">
      <alignment horizontal="right" vertical="center" wrapText="1"/>
    </xf>
    <xf numFmtId="0" fontId="69" fillId="2" borderId="1" xfId="0" applyFont="1" applyFill="1" applyBorder="1" applyAlignment="1">
      <alignment vertical="center" wrapText="1"/>
    </xf>
    <xf numFmtId="167" fontId="73" fillId="6" borderId="1" xfId="3" applyNumberFormat="1" applyFont="1" applyFill="1" applyBorder="1" applyAlignment="1">
      <alignment horizontal="center" vertical="center" wrapText="1"/>
    </xf>
    <xf numFmtId="167" fontId="74" fillId="0" borderId="1" xfId="3" applyNumberFormat="1" applyFont="1" applyBorder="1" applyAlignment="1">
      <alignment horizontal="right" vertical="center" wrapText="1"/>
    </xf>
    <xf numFmtId="0" fontId="69" fillId="2" borderId="8" xfId="0" applyFont="1" applyFill="1" applyBorder="1" applyAlignment="1">
      <alignment vertical="center" wrapText="1"/>
    </xf>
    <xf numFmtId="0" fontId="69" fillId="2" borderId="4" xfId="0" applyFont="1" applyFill="1" applyBorder="1" applyAlignment="1">
      <alignment horizontal="center" vertical="center" wrapText="1"/>
    </xf>
    <xf numFmtId="0" fontId="73" fillId="6" borderId="9" xfId="0" applyFont="1" applyFill="1" applyBorder="1" applyAlignment="1">
      <alignment horizontal="right" vertical="center" wrapText="1"/>
    </xf>
    <xf numFmtId="0" fontId="73" fillId="6" borderId="10" xfId="0" applyFont="1" applyFill="1" applyBorder="1" applyAlignment="1">
      <alignment vertical="center" wrapText="1"/>
    </xf>
    <xf numFmtId="167" fontId="73" fillId="6" borderId="10" xfId="3" applyNumberFormat="1" applyFont="1" applyFill="1" applyBorder="1" applyAlignment="1">
      <alignment horizontal="right" vertical="center" wrapText="1"/>
    </xf>
    <xf numFmtId="167" fontId="74" fillId="6" borderId="10" xfId="3" applyNumberFormat="1"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5" fillId="0" borderId="0" xfId="0" applyFont="1" applyBorder="1" applyAlignment="1">
      <alignment horizontal="center"/>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68" fillId="0" borderId="1" xfId="0" applyFont="1" applyBorder="1" applyAlignment="1">
      <alignment horizontal="center" vertical="center" wrapText="1"/>
    </xf>
    <xf numFmtId="0" fontId="68" fillId="0" borderId="0" xfId="0" applyFont="1" applyAlignment="1">
      <alignment horizontal="center"/>
    </xf>
    <xf numFmtId="0" fontId="72" fillId="0" borderId="0" xfId="0" applyFont="1" applyAlignment="1">
      <alignment horizontal="center"/>
    </xf>
    <xf numFmtId="0" fontId="74" fillId="0" borderId="1" xfId="0" applyFont="1" applyBorder="1" applyAlignment="1">
      <alignment horizontal="center" vertical="center" wrapText="1"/>
    </xf>
    <xf numFmtId="0" fontId="74" fillId="6" borderId="1" xfId="0" applyFont="1" applyFill="1" applyBorder="1" applyAlignment="1">
      <alignment horizontal="center" vertical="center" wrapText="1"/>
    </xf>
    <xf numFmtId="0" fontId="74" fillId="0" borderId="3" xfId="0" applyFont="1" applyBorder="1" applyAlignment="1">
      <alignment horizontal="center" vertical="center" wrapText="1"/>
    </xf>
    <xf numFmtId="0" fontId="74" fillId="0" borderId="4" xfId="0" applyFont="1" applyBorder="1" applyAlignment="1">
      <alignment horizontal="center" vertical="center" wrapText="1"/>
    </xf>
    <xf numFmtId="0" fontId="78" fillId="0" borderId="0" xfId="0" applyFont="1" applyAlignment="1">
      <alignment horizontal="center" wrapText="1"/>
    </xf>
    <xf numFmtId="0" fontId="72" fillId="7" borderId="0" xfId="0" applyFont="1" applyFill="1" applyAlignment="1">
      <alignment horizontal="center"/>
    </xf>
    <xf numFmtId="0" fontId="77" fillId="0" borderId="1" xfId="0" applyFont="1" applyBorder="1" applyAlignment="1">
      <alignment horizontal="center" vertical="center" wrapText="1"/>
    </xf>
    <xf numFmtId="0" fontId="36" fillId="0" borderId="0" xfId="6" applyFont="1" applyFill="1" applyBorder="1" applyAlignment="1">
      <alignment horizontal="center"/>
    </xf>
    <xf numFmtId="0" fontId="13" fillId="0" borderId="0" xfId="0" applyFont="1" applyAlignment="1">
      <alignment horizontal="center" vertical="center" wrapText="1"/>
    </xf>
    <xf numFmtId="0" fontId="14"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52" fillId="0" borderId="0" xfId="0" applyFont="1" applyAlignment="1">
      <alignment horizont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2" fillId="0" borderId="0" xfId="0" applyFont="1" applyAlignment="1">
      <alignment horizontal="center" wrapText="1"/>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1796875" defaultRowHeight="14.5"/>
  <cols>
    <col min="1" max="1" width="12.81640625" style="339" customWidth="1"/>
    <col min="2" max="2" width="56" style="339" customWidth="1"/>
    <col min="3" max="3" width="26.26953125" style="339" customWidth="1"/>
    <col min="4" max="4" width="20.7265625" style="339" customWidth="1"/>
    <col min="5" max="5" width="29.453125" style="339" customWidth="1"/>
    <col min="6" max="16384" width="9.1796875" style="339"/>
  </cols>
  <sheetData>
    <row r="1" spans="1:5" ht="26.25" customHeight="1">
      <c r="A1" s="395" t="s">
        <v>669</v>
      </c>
      <c r="B1" s="395"/>
      <c r="C1" s="395"/>
      <c r="D1" s="395"/>
      <c r="E1" s="395"/>
    </row>
    <row r="2" spans="1:5" ht="26.25" customHeight="1">
      <c r="A2" s="396" t="s">
        <v>665</v>
      </c>
      <c r="B2" s="396"/>
      <c r="C2" s="396"/>
      <c r="D2" s="396"/>
      <c r="E2" s="396"/>
    </row>
    <row r="3" spans="1:5" ht="23.25" customHeight="1">
      <c r="A3" s="397" t="s">
        <v>636</v>
      </c>
      <c r="B3" s="397"/>
      <c r="C3" s="397"/>
      <c r="D3" s="397"/>
      <c r="E3" s="397"/>
    </row>
    <row r="4" spans="1:5" ht="240.75" customHeight="1">
      <c r="A4" s="398" t="s">
        <v>670</v>
      </c>
      <c r="B4" s="398"/>
      <c r="C4" s="398"/>
      <c r="D4" s="398"/>
      <c r="E4" s="398"/>
    </row>
    <row r="5" spans="1:5" ht="23.25" customHeight="1">
      <c r="A5" s="397" t="s">
        <v>637</v>
      </c>
      <c r="B5" s="397"/>
      <c r="C5" s="397"/>
      <c r="D5" s="397"/>
      <c r="E5" s="397"/>
    </row>
    <row r="6" spans="1:5" ht="108" customHeight="1">
      <c r="A6" s="405" t="s">
        <v>708</v>
      </c>
      <c r="B6" s="406"/>
      <c r="C6" s="406"/>
      <c r="D6" s="406"/>
      <c r="E6" s="407"/>
    </row>
    <row r="7" spans="1:5" ht="23.25" customHeight="1">
      <c r="A7" s="408" t="s">
        <v>671</v>
      </c>
      <c r="B7" s="408"/>
      <c r="C7" s="408"/>
      <c r="D7" s="408"/>
      <c r="E7" s="408"/>
    </row>
    <row r="8" spans="1:5" ht="125.25" customHeight="1">
      <c r="A8" s="398" t="s">
        <v>707</v>
      </c>
      <c r="B8" s="398"/>
      <c r="C8" s="398"/>
      <c r="D8" s="398"/>
      <c r="E8" s="398"/>
    </row>
    <row r="9" spans="1:5" ht="23.5">
      <c r="A9" s="397" t="s">
        <v>662</v>
      </c>
      <c r="B9" s="397"/>
      <c r="C9" s="397"/>
      <c r="D9" s="397"/>
      <c r="E9" s="397"/>
    </row>
    <row r="10" spans="1:5">
      <c r="A10" s="339" t="s">
        <v>638</v>
      </c>
      <c r="B10" s="339" t="s">
        <v>152</v>
      </c>
    </row>
    <row r="11" spans="1:5" ht="20.25" customHeight="1">
      <c r="A11" s="343"/>
      <c r="B11" s="409" t="s">
        <v>416</v>
      </c>
      <c r="C11" s="410"/>
      <c r="D11" s="410"/>
      <c r="E11" s="411"/>
    </row>
    <row r="12" spans="1:5">
      <c r="A12" s="344"/>
      <c r="B12" s="399" t="s">
        <v>417</v>
      </c>
      <c r="C12" s="399"/>
      <c r="D12" s="399"/>
      <c r="E12" s="399"/>
    </row>
    <row r="13" spans="1:5" s="348" customFormat="1">
      <c r="A13" s="400"/>
      <c r="B13" s="400"/>
      <c r="C13" s="400"/>
      <c r="D13" s="400"/>
      <c r="E13" s="401"/>
    </row>
    <row r="14" spans="1:5" ht="23.5">
      <c r="A14" s="397" t="s">
        <v>663</v>
      </c>
      <c r="B14" s="397"/>
      <c r="C14" s="397"/>
      <c r="D14" s="397"/>
      <c r="E14" s="397"/>
    </row>
    <row r="15" spans="1:5">
      <c r="A15" s="340" t="s">
        <v>634</v>
      </c>
      <c r="B15" s="340" t="s">
        <v>672</v>
      </c>
      <c r="C15" s="340" t="s">
        <v>468</v>
      </c>
      <c r="D15" s="340" t="s">
        <v>642</v>
      </c>
      <c r="E15" s="340" t="s">
        <v>635</v>
      </c>
    </row>
    <row r="16" spans="1:5">
      <c r="A16" s="349" t="s">
        <v>175</v>
      </c>
      <c r="B16" s="349" t="s">
        <v>673</v>
      </c>
      <c r="C16" s="349"/>
      <c r="D16" s="349"/>
      <c r="E16" s="349"/>
    </row>
    <row r="17" spans="1:5" ht="58">
      <c r="A17" s="350" t="s">
        <v>652</v>
      </c>
      <c r="B17" s="341" t="s">
        <v>659</v>
      </c>
      <c r="C17" s="341" t="s">
        <v>704</v>
      </c>
      <c r="D17" s="341" t="s">
        <v>674</v>
      </c>
      <c r="E17" s="341"/>
    </row>
    <row r="18" spans="1:5" ht="72.5">
      <c r="A18" s="350" t="s">
        <v>653</v>
      </c>
      <c r="B18" s="341" t="s">
        <v>639</v>
      </c>
      <c r="C18" s="341" t="s">
        <v>705</v>
      </c>
      <c r="D18" s="341" t="s">
        <v>675</v>
      </c>
      <c r="E18" s="341"/>
    </row>
    <row r="19" spans="1:5" ht="26.25" customHeight="1">
      <c r="A19" s="350" t="s">
        <v>654</v>
      </c>
      <c r="B19" s="342" t="s">
        <v>666</v>
      </c>
      <c r="C19" s="341" t="s">
        <v>676</v>
      </c>
      <c r="D19" s="341" t="s">
        <v>677</v>
      </c>
      <c r="E19" s="341" t="s">
        <v>664</v>
      </c>
    </row>
    <row r="20" spans="1:5" ht="29">
      <c r="A20" s="350" t="s">
        <v>655</v>
      </c>
      <c r="B20" s="341" t="s">
        <v>706</v>
      </c>
      <c r="C20" s="341"/>
      <c r="D20" s="341"/>
      <c r="E20" s="341"/>
    </row>
    <row r="21" spans="1:5">
      <c r="A21" s="341">
        <v>4.0999999999999996</v>
      </c>
      <c r="B21" s="341" t="s">
        <v>646</v>
      </c>
      <c r="C21" s="402" t="s">
        <v>678</v>
      </c>
      <c r="D21" s="341" t="s">
        <v>679</v>
      </c>
      <c r="E21" s="341"/>
    </row>
    <row r="22" spans="1:5">
      <c r="A22" s="341">
        <v>4.2</v>
      </c>
      <c r="B22" s="341" t="s">
        <v>650</v>
      </c>
      <c r="C22" s="403"/>
      <c r="D22" s="341" t="s">
        <v>680</v>
      </c>
      <c r="E22" s="341"/>
    </row>
    <row r="23" spans="1:5">
      <c r="A23" s="341">
        <v>4.3</v>
      </c>
      <c r="B23" s="341" t="s">
        <v>647</v>
      </c>
      <c r="C23" s="403"/>
      <c r="D23" s="341" t="s">
        <v>681</v>
      </c>
      <c r="E23" s="341"/>
    </row>
    <row r="24" spans="1:5">
      <c r="A24" s="341">
        <v>4.4000000000000004</v>
      </c>
      <c r="B24" s="341" t="s">
        <v>648</v>
      </c>
      <c r="C24" s="403"/>
      <c r="D24" s="341" t="s">
        <v>682</v>
      </c>
      <c r="E24" s="341"/>
    </row>
    <row r="25" spans="1:5">
      <c r="A25" s="341">
        <v>4.5</v>
      </c>
      <c r="B25" s="341" t="s">
        <v>649</v>
      </c>
      <c r="C25" s="403"/>
      <c r="D25" s="341" t="s">
        <v>683</v>
      </c>
      <c r="E25" s="341"/>
    </row>
    <row r="26" spans="1:5">
      <c r="A26" s="341">
        <v>4.5999999999999996</v>
      </c>
      <c r="B26" s="341" t="s">
        <v>651</v>
      </c>
      <c r="C26" s="404"/>
      <c r="D26" s="341" t="s">
        <v>684</v>
      </c>
      <c r="E26" s="341"/>
    </row>
    <row r="27" spans="1:5" ht="43.5">
      <c r="A27" s="350" t="s">
        <v>656</v>
      </c>
      <c r="B27" s="341" t="s">
        <v>640</v>
      </c>
      <c r="C27" s="341" t="s">
        <v>685</v>
      </c>
      <c r="D27" s="341" t="s">
        <v>710</v>
      </c>
      <c r="E27" s="341"/>
    </row>
    <row r="28" spans="1:5" ht="58">
      <c r="A28" s="350" t="s">
        <v>657</v>
      </c>
      <c r="B28" s="341" t="s">
        <v>686</v>
      </c>
      <c r="C28" s="341" t="s">
        <v>687</v>
      </c>
      <c r="D28" s="341" t="s">
        <v>688</v>
      </c>
      <c r="E28" s="341"/>
    </row>
    <row r="29" spans="1:5" ht="29">
      <c r="A29" s="350" t="s">
        <v>658</v>
      </c>
      <c r="B29" s="341" t="s">
        <v>641</v>
      </c>
      <c r="C29" s="341" t="s">
        <v>689</v>
      </c>
      <c r="D29" s="341" t="s">
        <v>690</v>
      </c>
      <c r="E29" s="341"/>
    </row>
    <row r="30" spans="1:5">
      <c r="A30" s="349" t="s">
        <v>176</v>
      </c>
      <c r="B30" s="351" t="s">
        <v>691</v>
      </c>
      <c r="C30" s="349"/>
      <c r="D30" s="349"/>
      <c r="E30" s="349"/>
    </row>
    <row r="31" spans="1:5" ht="26.25" customHeight="1">
      <c r="A31" s="352" t="s">
        <v>692</v>
      </c>
      <c r="B31" s="341" t="s">
        <v>643</v>
      </c>
      <c r="C31" s="341"/>
      <c r="D31" s="341" t="s">
        <v>693</v>
      </c>
      <c r="E31" s="341" t="s">
        <v>664</v>
      </c>
    </row>
    <row r="32" spans="1:5">
      <c r="A32" s="352" t="s">
        <v>694</v>
      </c>
      <c r="B32" s="341" t="s">
        <v>644</v>
      </c>
      <c r="C32" s="341"/>
      <c r="D32" s="341" t="s">
        <v>695</v>
      </c>
      <c r="E32" s="341" t="s">
        <v>664</v>
      </c>
    </row>
    <row r="33" spans="1:5">
      <c r="A33" s="352" t="s">
        <v>696</v>
      </c>
      <c r="B33" s="341" t="s">
        <v>645</v>
      </c>
      <c r="C33" s="341"/>
      <c r="D33" s="341" t="s">
        <v>697</v>
      </c>
      <c r="E33" s="341" t="s">
        <v>664</v>
      </c>
    </row>
    <row r="34" spans="1:5" ht="35.25" customHeight="1">
      <c r="A34" s="352" t="s">
        <v>698</v>
      </c>
      <c r="B34" s="341" t="s">
        <v>660</v>
      </c>
      <c r="C34" s="341"/>
      <c r="D34" s="341" t="s">
        <v>699</v>
      </c>
      <c r="E34" s="341" t="s">
        <v>664</v>
      </c>
    </row>
    <row r="35" spans="1:5" ht="35.25" customHeight="1">
      <c r="A35" s="352" t="s">
        <v>700</v>
      </c>
      <c r="B35" s="341" t="s">
        <v>701</v>
      </c>
      <c r="C35" s="341"/>
      <c r="D35" s="341" t="s">
        <v>709</v>
      </c>
      <c r="E35" s="341" t="s">
        <v>664</v>
      </c>
    </row>
    <row r="36" spans="1:5">
      <c r="A36" s="350" t="s">
        <v>702</v>
      </c>
      <c r="B36" s="341" t="s">
        <v>703</v>
      </c>
      <c r="C36" s="341"/>
      <c r="D36" s="341"/>
      <c r="E36" s="341"/>
    </row>
    <row r="37" spans="1:5" ht="21">
      <c r="A37" s="394"/>
      <c r="B37" s="394"/>
      <c r="C37" s="394"/>
      <c r="D37" s="394"/>
      <c r="E37" s="39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5"/>
  <sheetViews>
    <sheetView view="pageBreakPreview" zoomScale="80" zoomScaleNormal="100" zoomScaleSheetLayoutView="80" workbookViewId="0">
      <selection activeCell="E182" sqref="E182"/>
    </sheetView>
  </sheetViews>
  <sheetFormatPr defaultRowHeight="14.5"/>
  <cols>
    <col min="2" max="2" width="32.7265625" bestFit="1" customWidth="1"/>
    <col min="3" max="3" width="19.81640625" customWidth="1"/>
    <col min="4" max="5" width="14.81640625"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2" ht="17.5">
      <c r="B5" s="454" t="s">
        <v>585</v>
      </c>
      <c r="C5" s="454"/>
      <c r="D5" s="454"/>
      <c r="E5" s="454"/>
      <c r="F5" s="454"/>
      <c r="G5" s="454"/>
      <c r="H5" s="454"/>
      <c r="I5" s="454"/>
      <c r="J5" s="454"/>
    </row>
    <row r="6" spans="2:12" ht="16.5">
      <c r="B6" s="8"/>
      <c r="C6" s="8"/>
      <c r="D6" s="8"/>
      <c r="E6" s="8"/>
      <c r="F6" s="8"/>
      <c r="G6" s="8"/>
      <c r="H6" s="8"/>
      <c r="I6" s="8"/>
      <c r="J6" s="8"/>
    </row>
    <row r="7" spans="2:12" ht="15.5">
      <c r="B7" s="79" t="s">
        <v>29</v>
      </c>
      <c r="C7" s="80" t="s">
        <v>343</v>
      </c>
      <c r="D7" s="80" t="s">
        <v>2</v>
      </c>
      <c r="E7" s="80" t="s">
        <v>3</v>
      </c>
      <c r="F7" s="80" t="s">
        <v>4</v>
      </c>
      <c r="G7" s="80" t="s">
        <v>5</v>
      </c>
      <c r="H7" s="80" t="s">
        <v>6</v>
      </c>
      <c r="I7" s="80" t="s">
        <v>171</v>
      </c>
      <c r="J7" s="80" t="s">
        <v>170</v>
      </c>
      <c r="L7" s="345"/>
    </row>
    <row r="8" spans="2:12">
      <c r="B8" s="81"/>
      <c r="C8" s="81"/>
      <c r="D8" s="81"/>
      <c r="E8" s="81"/>
      <c r="F8" s="81"/>
      <c r="G8" s="81"/>
      <c r="H8" s="81"/>
      <c r="I8" s="81"/>
      <c r="J8" s="81"/>
    </row>
    <row r="9" spans="2:12">
      <c r="B9" s="81" t="s">
        <v>30</v>
      </c>
      <c r="C9" s="81"/>
      <c r="D9" s="82">
        <f>'6.Cons Profit &amp; Loss'!B51</f>
        <v>6597425.3014312135</v>
      </c>
      <c r="E9" s="82">
        <f>'6.Cons Profit &amp; Loss'!C51</f>
        <v>5439676.5155460006</v>
      </c>
      <c r="F9" s="82">
        <f>'6.Cons Profit &amp; Loss'!D51</f>
        <v>6078947.1082951725</v>
      </c>
      <c r="G9" s="82">
        <f>'6.Cons Profit &amp; Loss'!E51</f>
        <v>6806112.3211520799</v>
      </c>
      <c r="H9" s="82">
        <f>'6.Cons Profit &amp; Loss'!F51</f>
        <v>7623085.9780517817</v>
      </c>
      <c r="I9" s="82">
        <f>'6.Cons Profit &amp; Loss'!G51</f>
        <v>8537156.7414187491</v>
      </c>
      <c r="J9" s="82">
        <f>'6.Cons Profit &amp; Loss'!H51</f>
        <v>9543200.0722391978</v>
      </c>
    </row>
    <row r="10" spans="2:12">
      <c r="B10" s="81"/>
      <c r="C10" s="81"/>
      <c r="D10" s="82"/>
      <c r="E10" s="82"/>
      <c r="F10" s="82"/>
      <c r="G10" s="82"/>
      <c r="H10" s="82"/>
      <c r="I10" s="82"/>
      <c r="J10" s="82"/>
    </row>
    <row r="11" spans="2:12">
      <c r="B11" s="83" t="s">
        <v>31</v>
      </c>
      <c r="C11" s="83"/>
      <c r="D11" s="82">
        <f>'6.Cons Profit &amp; Loss'!B42</f>
        <v>2056770.2286839997</v>
      </c>
      <c r="E11" s="82">
        <f>'6.Cons Profit &amp; Loss'!C42</f>
        <v>2056770.2286839997</v>
      </c>
      <c r="F11" s="82">
        <f>'6.Cons Profit &amp; Loss'!D42</f>
        <v>2056770.2286839997</v>
      </c>
      <c r="G11" s="82">
        <f>'6.Cons Profit &amp; Loss'!E42</f>
        <v>2056770.2286839997</v>
      </c>
      <c r="H11" s="82">
        <f>'6.Cons Profit &amp; Loss'!F42</f>
        <v>2056770.2286839997</v>
      </c>
      <c r="I11" s="82">
        <f>'6.Cons Profit &amp; Loss'!G42</f>
        <v>2056770.2286839997</v>
      </c>
      <c r="J11" s="82">
        <f>'6.Cons Profit &amp; Loss'!H42</f>
        <v>2056770.2286839997</v>
      </c>
    </row>
    <row r="12" spans="2:12">
      <c r="B12" s="81" t="s">
        <v>36</v>
      </c>
      <c r="C12" s="81"/>
      <c r="D12" s="82">
        <f>'6.Cons Profit &amp; Loss'!B43</f>
        <v>6000</v>
      </c>
      <c r="E12" s="82">
        <f>'6.Cons Profit &amp; Loss'!C43</f>
        <v>6000</v>
      </c>
      <c r="F12" s="82">
        <f>'6.Cons Profit &amp; Loss'!D43</f>
        <v>6000</v>
      </c>
      <c r="G12" s="82">
        <f>'6.Cons Profit &amp; Loss'!E43</f>
        <v>6000</v>
      </c>
      <c r="H12" s="82">
        <f>'6.Cons Profit &amp; Loss'!F43</f>
        <v>6000</v>
      </c>
      <c r="I12" s="82">
        <f>'6.Cons Profit &amp; Loss'!G43</f>
        <v>0</v>
      </c>
      <c r="J12" s="82">
        <f>'6.Cons Profit &amp; Loss'!H43</f>
        <v>0</v>
      </c>
    </row>
    <row r="13" spans="2:12">
      <c r="B13" s="81"/>
      <c r="C13" s="81"/>
      <c r="D13" s="81"/>
      <c r="E13" s="81"/>
      <c r="F13" s="81"/>
      <c r="G13" s="81"/>
      <c r="H13" s="81"/>
      <c r="I13" s="81"/>
      <c r="J13" s="81"/>
    </row>
    <row r="14" spans="2:12">
      <c r="B14" s="81" t="s">
        <v>32</v>
      </c>
      <c r="C14" s="81"/>
      <c r="D14" s="82">
        <f>SUM(D9:D12)</f>
        <v>8660195.5301152132</v>
      </c>
      <c r="E14" s="82">
        <f t="shared" ref="E14:J14" si="0">SUM(E9:E12)</f>
        <v>7502446.7442300003</v>
      </c>
      <c r="F14" s="82">
        <f t="shared" si="0"/>
        <v>8141717.3369791722</v>
      </c>
      <c r="G14" s="82">
        <f t="shared" si="0"/>
        <v>8868882.5498360805</v>
      </c>
      <c r="H14" s="82">
        <f t="shared" si="0"/>
        <v>9685856.2067357823</v>
      </c>
      <c r="I14" s="82">
        <f t="shared" si="0"/>
        <v>10593926.97010275</v>
      </c>
      <c r="J14" s="82">
        <f t="shared" si="0"/>
        <v>11599970.300923198</v>
      </c>
    </row>
    <row r="15" spans="2:12">
      <c r="B15" s="81" t="s">
        <v>352</v>
      </c>
      <c r="C15" s="84">
        <f>-'1.Project Cost and MOF'!D12</f>
        <v>-38706246.66594369</v>
      </c>
      <c r="D15" s="82">
        <f>D14</f>
        <v>8660195.5301152132</v>
      </c>
      <c r="E15" s="82">
        <f t="shared" ref="E15:J15" si="1">E14</f>
        <v>7502446.7442300003</v>
      </c>
      <c r="F15" s="82">
        <f t="shared" si="1"/>
        <v>8141717.3369791722</v>
      </c>
      <c r="G15" s="82">
        <f t="shared" si="1"/>
        <v>8868882.5498360805</v>
      </c>
      <c r="H15" s="82">
        <f t="shared" si="1"/>
        <v>9685856.2067357823</v>
      </c>
      <c r="I15" s="82">
        <f t="shared" si="1"/>
        <v>10593926.97010275</v>
      </c>
      <c r="J15" s="82">
        <f t="shared" si="1"/>
        <v>11599970.300923198</v>
      </c>
    </row>
    <row r="16" spans="2:12">
      <c r="B16" s="81" t="s">
        <v>284</v>
      </c>
      <c r="C16" s="239">
        <f>IRR(C15:J15)</f>
        <v>0.13922599377703615</v>
      </c>
      <c r="D16" s="82"/>
      <c r="E16" s="82"/>
      <c r="F16" s="82"/>
      <c r="G16" s="82"/>
      <c r="H16" s="82"/>
      <c r="I16" s="82"/>
      <c r="J16" s="82"/>
    </row>
    <row r="17" spans="2:19">
      <c r="B17" s="81"/>
      <c r="C17" s="81"/>
      <c r="D17" s="81"/>
      <c r="E17" s="81"/>
      <c r="F17" s="81"/>
      <c r="G17" s="81"/>
      <c r="H17" s="81"/>
      <c r="I17" s="81"/>
      <c r="J17" s="81"/>
    </row>
    <row r="18" spans="2:19" ht="16.5">
      <c r="B18" s="240" t="s">
        <v>419</v>
      </c>
      <c r="C18" s="240"/>
      <c r="D18" s="241">
        <f>1/(1+$C$16)</f>
        <v>0.87778895975201499</v>
      </c>
      <c r="E18" s="242">
        <f t="shared" ref="E18:J18" si="2">D18/(1+$C$16)</f>
        <v>0.77051345786252456</v>
      </c>
      <c r="F18" s="242">
        <f t="shared" si="2"/>
        <v>0.6763482066520734</v>
      </c>
      <c r="G18" s="242">
        <f t="shared" si="2"/>
        <v>0.59369098874726434</v>
      </c>
      <c r="H18" s="242">
        <f t="shared" si="2"/>
        <v>0.52113539542660636</v>
      </c>
      <c r="I18" s="242">
        <f t="shared" si="2"/>
        <v>0.45744689664147575</v>
      </c>
      <c r="J18" s="242">
        <f t="shared" si="2"/>
        <v>0.40154183554470851</v>
      </c>
      <c r="L18" s="17"/>
      <c r="M18" s="17"/>
      <c r="N18" s="17"/>
      <c r="O18" s="17"/>
      <c r="P18" s="17"/>
      <c r="Q18" s="17"/>
      <c r="R18" s="17"/>
      <c r="S18" s="17"/>
    </row>
    <row r="19" spans="2:19">
      <c r="B19" s="81" t="s">
        <v>33</v>
      </c>
      <c r="C19" s="81"/>
      <c r="D19" s="82">
        <f t="shared" ref="D19:J19" si="3">D14*D18</f>
        <v>7601824.0256288834</v>
      </c>
      <c r="E19" s="82">
        <f t="shared" si="3"/>
        <v>5780736.1833260972</v>
      </c>
      <c r="F19" s="82">
        <f t="shared" si="3"/>
        <v>5506635.919933958</v>
      </c>
      <c r="G19" s="82">
        <f t="shared" si="3"/>
        <v>5265375.650095542</v>
      </c>
      <c r="H19" s="82">
        <f t="shared" si="3"/>
        <v>5047642.5043425011</v>
      </c>
      <c r="I19" s="82">
        <f t="shared" si="3"/>
        <v>4846159.0157199353</v>
      </c>
      <c r="J19" s="82">
        <f t="shared" si="3"/>
        <v>4657873.3668968063</v>
      </c>
      <c r="L19" s="6"/>
    </row>
    <row r="20" spans="2:19">
      <c r="B20" s="81" t="s">
        <v>34</v>
      </c>
      <c r="C20" s="81"/>
      <c r="D20" s="461">
        <f>SUM(D19:J19)</f>
        <v>38706246.665943727</v>
      </c>
      <c r="E20" s="461"/>
      <c r="F20" s="461"/>
      <c r="G20" s="461"/>
      <c r="H20" s="461"/>
      <c r="I20" s="461"/>
      <c r="J20" s="461"/>
      <c r="L20" s="6"/>
    </row>
    <row r="21" spans="2:19">
      <c r="B21" s="81"/>
      <c r="C21" s="81"/>
      <c r="D21" s="82"/>
      <c r="E21" s="82"/>
      <c r="F21" s="82"/>
      <c r="G21" s="82"/>
      <c r="H21" s="82"/>
      <c r="I21" s="82"/>
      <c r="J21" s="82"/>
    </row>
    <row r="22" spans="2:19">
      <c r="B22" s="9" t="s">
        <v>35</v>
      </c>
      <c r="C22" s="9"/>
      <c r="D22" s="462">
        <f>'1.Project Cost and MOF'!D12</f>
        <v>38706246.66594369</v>
      </c>
      <c r="E22" s="462"/>
      <c r="F22" s="462"/>
      <c r="G22" s="462"/>
      <c r="H22" s="462"/>
      <c r="I22" s="462"/>
      <c r="J22" s="462"/>
    </row>
    <row r="23" spans="2:19">
      <c r="F23" s="17">
        <f>D20-D22</f>
        <v>0</v>
      </c>
    </row>
    <row r="24" spans="2:19" ht="29.5" customHeight="1">
      <c r="B24" s="455" t="s">
        <v>436</v>
      </c>
      <c r="C24" s="455"/>
      <c r="D24" s="455"/>
      <c r="E24" s="455"/>
      <c r="F24" s="455"/>
      <c r="G24" s="455"/>
      <c r="H24" s="455"/>
      <c r="I24" s="455"/>
      <c r="J24" s="455"/>
    </row>
    <row r="25" spans="2:19">
      <c r="K25" s="17"/>
      <c r="L25" s="17"/>
      <c r="M25" s="17"/>
    </row>
    <row r="26" spans="2:19" ht="17.5">
      <c r="B26" s="416" t="s">
        <v>586</v>
      </c>
      <c r="C26" s="416"/>
      <c r="D26" s="416"/>
      <c r="E26" s="416"/>
      <c r="F26" s="416"/>
      <c r="G26" s="416"/>
      <c r="H26" s="416"/>
      <c r="I26" s="416"/>
    </row>
    <row r="27" spans="2:19">
      <c r="K27" s="17"/>
    </row>
    <row r="28" spans="2:19">
      <c r="B28" s="106" t="s">
        <v>0</v>
      </c>
      <c r="C28" s="97" t="s">
        <v>2</v>
      </c>
      <c r="D28" s="97" t="s">
        <v>3</v>
      </c>
      <c r="E28" s="97" t="s">
        <v>4</v>
      </c>
      <c r="F28" s="97" t="s">
        <v>5</v>
      </c>
      <c r="G28" s="97" t="s">
        <v>6</v>
      </c>
      <c r="H28" s="97" t="s">
        <v>171</v>
      </c>
      <c r="I28" s="97" t="s">
        <v>170</v>
      </c>
    </row>
    <row r="29" spans="2:19">
      <c r="B29" s="88"/>
      <c r="C29" s="88"/>
      <c r="D29" s="88"/>
      <c r="E29" s="88"/>
      <c r="F29" s="88"/>
      <c r="G29" s="88"/>
      <c r="H29" s="88"/>
      <c r="I29" s="88"/>
    </row>
    <row r="30" spans="2:19">
      <c r="B30" s="88" t="s">
        <v>37</v>
      </c>
      <c r="C30" s="88"/>
      <c r="D30" s="88"/>
      <c r="E30" s="88"/>
      <c r="F30" s="88"/>
      <c r="G30" s="88"/>
      <c r="H30" s="88"/>
      <c r="I30" s="88"/>
    </row>
    <row r="31" spans="2:19">
      <c r="B31" s="88"/>
      <c r="C31" s="89"/>
      <c r="D31" s="89"/>
      <c r="E31" s="89"/>
      <c r="F31" s="89"/>
      <c r="G31" s="89"/>
      <c r="H31" s="89"/>
      <c r="I31" s="89"/>
    </row>
    <row r="32" spans="2:19">
      <c r="B32" s="103" t="str">
        <f>'6.Cons Profit &amp; Loss'!A8</f>
        <v>Faclitiy 1 - Cleaning &amp; Grading</v>
      </c>
      <c r="C32" s="89">
        <f>'6.Cons Profit &amp; Loss'!B8</f>
        <v>0</v>
      </c>
      <c r="D32" s="89">
        <f>'6.Cons Profit &amp; Loss'!C8</f>
        <v>0</v>
      </c>
      <c r="E32" s="89">
        <f>'6.Cons Profit &amp; Loss'!D8</f>
        <v>0</v>
      </c>
      <c r="F32" s="89">
        <f>'6.Cons Profit &amp; Loss'!E8</f>
        <v>0</v>
      </c>
      <c r="G32" s="89">
        <f>'6.Cons Profit &amp; Loss'!F8</f>
        <v>0</v>
      </c>
      <c r="H32" s="89">
        <f>'6.Cons Profit &amp; Loss'!G8</f>
        <v>0</v>
      </c>
      <c r="I32" s="89">
        <f>'6.Cons Profit &amp; Loss'!H8</f>
        <v>0</v>
      </c>
    </row>
    <row r="33" spans="2:9">
      <c r="B33" s="103" t="str">
        <f>'6.Cons Profit &amp; Loss'!A9</f>
        <v>Faclitiy 2 - Processing Unit- Dal Mill</v>
      </c>
      <c r="C33" s="89">
        <f>'6.Cons Profit &amp; Loss'!B9</f>
        <v>72408947.519999996</v>
      </c>
      <c r="D33" s="89">
        <f>'6.Cons Profit &amp; Loss'!C9</f>
        <v>81954142.905599996</v>
      </c>
      <c r="E33" s="89">
        <f>'6.Cons Profit &amp; Loss'!D9</f>
        <v>88445306.285280004</v>
      </c>
      <c r="F33" s="89">
        <f>'6.Cons Profit &amp; Loss'!E9</f>
        <v>95380700.645664006</v>
      </c>
      <c r="G33" s="89">
        <f>'6.Cons Profit &amp; Loss'!F9</f>
        <v>102788521.17637321</v>
      </c>
      <c r="H33" s="89">
        <f>'6.Cons Profit &amp; Loss'!G9</f>
        <v>110698672.00853918</v>
      </c>
      <c r="I33" s="89">
        <f>'6.Cons Profit &amp; Loss'!H9</f>
        <v>119142866.62098081</v>
      </c>
    </row>
    <row r="34" spans="2:9">
      <c r="B34" s="103" t="str">
        <f>'6.Cons Profit &amp; Loss'!A10</f>
        <v>Faclitiy 3 - Warehouse</v>
      </c>
      <c r="C34" s="89">
        <f>'6.Cons Profit &amp; Loss'!B10</f>
        <v>0</v>
      </c>
      <c r="D34" s="89">
        <f>'6.Cons Profit &amp; Loss'!C10</f>
        <v>0</v>
      </c>
      <c r="E34" s="89">
        <f>'6.Cons Profit &amp; Loss'!D10</f>
        <v>0</v>
      </c>
      <c r="F34" s="89">
        <f>'6.Cons Profit &amp; Loss'!E10</f>
        <v>0</v>
      </c>
      <c r="G34" s="89">
        <f>'6.Cons Profit &amp; Loss'!F10</f>
        <v>0</v>
      </c>
      <c r="H34" s="89">
        <f>'6.Cons Profit &amp; Loss'!G10</f>
        <v>0</v>
      </c>
      <c r="I34" s="89">
        <f>'6.Cons Profit &amp; Loss'!H10</f>
        <v>0</v>
      </c>
    </row>
    <row r="35" spans="2:9">
      <c r="B35" s="103" t="str">
        <f>'6.Cons Profit &amp; Loss'!A11</f>
        <v xml:space="preserve">Faclitiy 4 - Custom Hiring </v>
      </c>
      <c r="C35" s="89">
        <f>'6.Cons Profit &amp; Loss'!B11</f>
        <v>0</v>
      </c>
      <c r="D35" s="89">
        <f>'6.Cons Profit &amp; Loss'!C11</f>
        <v>0</v>
      </c>
      <c r="E35" s="89">
        <f>'6.Cons Profit &amp; Loss'!D11</f>
        <v>0</v>
      </c>
      <c r="F35" s="89">
        <f>'6.Cons Profit &amp; Loss'!E11</f>
        <v>0</v>
      </c>
      <c r="G35" s="89">
        <f>'6.Cons Profit &amp; Loss'!F11</f>
        <v>0</v>
      </c>
      <c r="H35" s="89">
        <f>'6.Cons Profit &amp; Loss'!G11</f>
        <v>0</v>
      </c>
      <c r="I35" s="89">
        <f>'6.Cons Profit &amp; Loss'!H11</f>
        <v>0</v>
      </c>
    </row>
    <row r="36" spans="2:9">
      <c r="B36" s="103" t="str">
        <f>'6.Cons Profit &amp; Loss'!A12</f>
        <v>Faclitiy 5 - Agri Input Centre</v>
      </c>
      <c r="C36" s="89">
        <f>'6.Cons Profit &amp; Loss'!B12</f>
        <v>0</v>
      </c>
      <c r="D36" s="89">
        <f>'6.Cons Profit &amp; Loss'!C12</f>
        <v>0</v>
      </c>
      <c r="E36" s="89">
        <f>'6.Cons Profit &amp; Loss'!D12</f>
        <v>0</v>
      </c>
      <c r="F36" s="89">
        <f>'6.Cons Profit &amp; Loss'!E12</f>
        <v>0</v>
      </c>
      <c r="G36" s="89">
        <f>'6.Cons Profit &amp; Loss'!F12</f>
        <v>0</v>
      </c>
      <c r="H36" s="89">
        <f>'6.Cons Profit &amp; Loss'!G12</f>
        <v>0</v>
      </c>
      <c r="I36" s="89">
        <f>'6.Cons Profit &amp; Loss'!H12</f>
        <v>0</v>
      </c>
    </row>
    <row r="37" spans="2:9">
      <c r="B37" s="103" t="str">
        <f>'6.Cons Profit &amp; Loss'!A13</f>
        <v>Facility 6 - Processing Unit - Horti Commodity</v>
      </c>
      <c r="C37" s="89">
        <f>'6.Cons Profit &amp; Loss'!B13</f>
        <v>0</v>
      </c>
      <c r="D37" s="89">
        <f>'6.Cons Profit &amp; Loss'!C13</f>
        <v>0</v>
      </c>
      <c r="E37" s="89">
        <f>'6.Cons Profit &amp; Loss'!D13</f>
        <v>0</v>
      </c>
      <c r="F37" s="89">
        <f>'6.Cons Profit &amp; Loss'!E13</f>
        <v>0</v>
      </c>
      <c r="G37" s="89">
        <f>'6.Cons Profit &amp; Loss'!F13</f>
        <v>0</v>
      </c>
      <c r="H37" s="89">
        <f>'6.Cons Profit &amp; Loss'!G13</f>
        <v>0</v>
      </c>
      <c r="I37" s="89">
        <f>'6.Cons Profit &amp; Loss'!H13</f>
        <v>0</v>
      </c>
    </row>
    <row r="38" spans="2:9">
      <c r="B38" s="103"/>
      <c r="C38" s="103"/>
      <c r="D38" s="103"/>
      <c r="E38" s="103"/>
      <c r="F38" s="103"/>
      <c r="G38" s="103"/>
      <c r="H38" s="103"/>
      <c r="I38" s="103"/>
    </row>
    <row r="39" spans="2:9">
      <c r="B39" s="88" t="s">
        <v>8</v>
      </c>
      <c r="C39" s="89">
        <f>SUM(C32:C38)</f>
        <v>72408947.519999996</v>
      </c>
      <c r="D39" s="89">
        <f t="shared" ref="D39:I39" si="4">SUM(D32:D38)</f>
        <v>81954142.905599996</v>
      </c>
      <c r="E39" s="89">
        <f t="shared" si="4"/>
        <v>88445306.285280004</v>
      </c>
      <c r="F39" s="89">
        <f t="shared" si="4"/>
        <v>95380700.645664006</v>
      </c>
      <c r="G39" s="89">
        <f t="shared" si="4"/>
        <v>102788521.17637321</v>
      </c>
      <c r="H39" s="89">
        <f t="shared" si="4"/>
        <v>110698672.00853918</v>
      </c>
      <c r="I39" s="89">
        <f t="shared" si="4"/>
        <v>119142866.62098081</v>
      </c>
    </row>
    <row r="40" spans="2:9">
      <c r="B40" s="88"/>
      <c r="C40" s="89"/>
      <c r="D40" s="89"/>
      <c r="E40" s="89"/>
      <c r="F40" s="89"/>
      <c r="G40" s="89"/>
      <c r="H40" s="89"/>
      <c r="I40" s="89"/>
    </row>
    <row r="41" spans="2:9">
      <c r="B41" s="88" t="s">
        <v>38</v>
      </c>
      <c r="C41" s="89">
        <f>'6.Cons Profit &amp; Loss'!B25</f>
        <v>56086495.144603617</v>
      </c>
      <c r="D41" s="89">
        <f>'6.Cons Profit &amp; Loss'!C25</f>
        <v>66645571.763350114</v>
      </c>
      <c r="E41" s="89">
        <f>'6.Cons Profit &amp; Loss'!D25</f>
        <v>71926739.658787966</v>
      </c>
      <c r="F41" s="89">
        <f>'6.Cons Profit &amp; Loss'!E25</f>
        <v>77569410.414361268</v>
      </c>
      <c r="G41" s="89">
        <f>'6.Cons Profit &amp; Loss'!F25</f>
        <v>83596531.396344915</v>
      </c>
      <c r="H41" s="89">
        <f>'6.Cons Profit &amp; Loss'!G25</f>
        <v>90032440.950490996</v>
      </c>
      <c r="I41" s="89">
        <f>'6.Cons Profit &amp; Loss'!H25</f>
        <v>96902950.131560862</v>
      </c>
    </row>
    <row r="42" spans="2:9">
      <c r="B42" s="88"/>
      <c r="C42" s="89"/>
      <c r="D42" s="89"/>
      <c r="E42" s="89"/>
      <c r="F42" s="89"/>
      <c r="G42" s="89"/>
      <c r="H42" s="89"/>
      <c r="I42" s="89"/>
    </row>
    <row r="43" spans="2:9">
      <c r="B43" s="90" t="s">
        <v>39</v>
      </c>
      <c r="C43" s="108">
        <f>C39-C41</f>
        <v>16322452.375396378</v>
      </c>
      <c r="D43" s="108">
        <f t="shared" ref="D43:I43" si="5">D39-D41</f>
        <v>15308571.142249882</v>
      </c>
      <c r="E43" s="108">
        <f t="shared" si="5"/>
        <v>16518566.626492038</v>
      </c>
      <c r="F43" s="108">
        <f t="shared" si="5"/>
        <v>17811290.231302738</v>
      </c>
      <c r="G43" s="108">
        <f t="shared" si="5"/>
        <v>19191989.780028298</v>
      </c>
      <c r="H43" s="108">
        <f t="shared" si="5"/>
        <v>20666231.058048189</v>
      </c>
      <c r="I43" s="108">
        <f t="shared" si="5"/>
        <v>22239916.489419952</v>
      </c>
    </row>
    <row r="44" spans="2:9">
      <c r="B44" s="88"/>
      <c r="C44" s="89"/>
      <c r="D44" s="89"/>
      <c r="E44" s="89"/>
      <c r="F44" s="89"/>
      <c r="G44" s="89"/>
      <c r="H44" s="89"/>
      <c r="I44" s="89"/>
    </row>
    <row r="45" spans="2:9">
      <c r="B45" s="90" t="s">
        <v>41</v>
      </c>
      <c r="C45" s="108">
        <f>'6.Cons Profit &amp; Loss'!B36+'6.Cons Profit &amp; Loss'!B42+'6.Cons Profit &amp; Loss'!B43</f>
        <v>6722822.2286839997</v>
      </c>
      <c r="D45" s="108">
        <f>'6.Cons Profit &amp; Loss'!C36+'6.Cons Profit &amp; Loss'!C42+'6.Cons Profit &amp; Loss'!C43</f>
        <v>6955824.8286839994</v>
      </c>
      <c r="E45" s="108">
        <f>'6.Cons Profit &amp; Loss'!D36+'6.Cons Profit &amp; Loss'!D42+'6.Cons Profit &amp; Loss'!D43</f>
        <v>7200477.5586839998</v>
      </c>
      <c r="F45" s="108">
        <f>'6.Cons Profit &amp; Loss'!E36+'6.Cons Profit &amp; Loss'!E42+'6.Cons Profit &amp; Loss'!E43</f>
        <v>7457362.9251840012</v>
      </c>
      <c r="G45" s="108">
        <f>'6.Cons Profit &amp; Loss'!F36+'6.Cons Profit &amp; Loss'!F42+'6.Cons Profit &amp; Loss'!F43</f>
        <v>7727092.5600090008</v>
      </c>
      <c r="H45" s="108">
        <f>'6.Cons Profit &amp; Loss'!G36+'6.Cons Profit &amp; Loss'!G42+'6.Cons Profit &amp; Loss'!G43</f>
        <v>8004308.6765752519</v>
      </c>
      <c r="I45" s="108">
        <f>'6.Cons Profit &amp; Loss'!H36+'6.Cons Profit &amp; Loss'!H42+'6.Cons Profit &amp; Loss'!H43</f>
        <v>8301685.5989698144</v>
      </c>
    </row>
    <row r="46" spans="2:9">
      <c r="B46" s="88"/>
      <c r="C46" s="88"/>
      <c r="D46" s="88"/>
      <c r="E46" s="88"/>
      <c r="F46" s="88"/>
      <c r="G46" s="88"/>
      <c r="H46" s="88"/>
      <c r="I46" s="88"/>
    </row>
    <row r="47" spans="2:9">
      <c r="B47" s="88" t="s">
        <v>40</v>
      </c>
      <c r="C47" s="107">
        <f t="shared" ref="C47:I47" si="6">C45/C43</f>
        <v>0.41187574477580557</v>
      </c>
      <c r="D47" s="107">
        <f t="shared" si="6"/>
        <v>0.45437453071545841</v>
      </c>
      <c r="E47" s="107">
        <f t="shared" si="6"/>
        <v>0.43590208045872847</v>
      </c>
      <c r="F47" s="107">
        <f t="shared" si="6"/>
        <v>0.41868740716368424</v>
      </c>
      <c r="G47" s="107">
        <f t="shared" si="6"/>
        <v>0.40262071044087472</v>
      </c>
      <c r="H47" s="107">
        <f t="shared" si="6"/>
        <v>0.38731342227290544</v>
      </c>
      <c r="I47" s="107">
        <f t="shared" si="6"/>
        <v>0.37327863182036319</v>
      </c>
    </row>
    <row r="48" spans="2:9">
      <c r="B48" s="87"/>
      <c r="C48" s="87"/>
      <c r="D48" s="87"/>
      <c r="E48" s="87"/>
      <c r="F48" s="87"/>
      <c r="G48" s="87"/>
      <c r="H48" s="87"/>
      <c r="I48" s="87"/>
    </row>
    <row r="49" spans="2:10">
      <c r="B49" s="109" t="s">
        <v>134</v>
      </c>
      <c r="C49" s="110">
        <f>AVERAGE(C47:I47)</f>
        <v>0.4120075039496886</v>
      </c>
      <c r="D49" s="87"/>
      <c r="E49" s="87"/>
      <c r="F49" s="87"/>
      <c r="G49" s="87"/>
      <c r="H49" s="87"/>
      <c r="I49" s="87"/>
    </row>
    <row r="51" spans="2:10" ht="41.5" customHeight="1">
      <c r="B51" s="456" t="s">
        <v>437</v>
      </c>
      <c r="C51" s="456"/>
      <c r="D51" s="456"/>
      <c r="E51" s="456"/>
      <c r="F51" s="456"/>
      <c r="G51" s="456"/>
      <c r="H51" s="456"/>
      <c r="I51" s="456"/>
      <c r="J51" s="456"/>
    </row>
    <row r="54" spans="2:10" ht="17.5">
      <c r="B54" s="416" t="s">
        <v>587</v>
      </c>
      <c r="C54" s="416"/>
      <c r="D54" s="416"/>
      <c r="E54" s="416"/>
      <c r="F54" s="416"/>
      <c r="G54" s="416"/>
      <c r="H54" s="416"/>
      <c r="I54" s="416"/>
    </row>
    <row r="56" spans="2:10">
      <c r="B56" s="75" t="s">
        <v>29</v>
      </c>
      <c r="C56" s="76" t="s">
        <v>2</v>
      </c>
      <c r="D56" s="76" t="s">
        <v>3</v>
      </c>
      <c r="E56" s="76" t="s">
        <v>4</v>
      </c>
      <c r="F56" s="76" t="s">
        <v>5</v>
      </c>
      <c r="G56" s="76" t="s">
        <v>6</v>
      </c>
      <c r="H56" s="76" t="s">
        <v>171</v>
      </c>
      <c r="I56" s="76" t="s">
        <v>170</v>
      </c>
    </row>
    <row r="57" spans="2:10">
      <c r="B57" s="88"/>
      <c r="C57" s="88"/>
      <c r="D57" s="88"/>
      <c r="E57" s="88"/>
      <c r="F57" s="88"/>
      <c r="G57" s="88"/>
      <c r="H57" s="88"/>
      <c r="I57" s="88"/>
    </row>
    <row r="58" spans="2:10">
      <c r="B58" s="88" t="s">
        <v>385</v>
      </c>
      <c r="C58" s="308">
        <f>'6.Cons Profit &amp; Loss'!B51</f>
        <v>6597425.3014312135</v>
      </c>
      <c r="D58" s="308">
        <f>'6.Cons Profit &amp; Loss'!C51</f>
        <v>5439676.5155460006</v>
      </c>
      <c r="E58" s="308">
        <f>'6.Cons Profit &amp; Loss'!D51</f>
        <v>6078947.1082951725</v>
      </c>
      <c r="F58" s="308">
        <f>'6.Cons Profit &amp; Loss'!E51</f>
        <v>6806112.3211520799</v>
      </c>
      <c r="G58" s="308">
        <f>'6.Cons Profit &amp; Loss'!F51</f>
        <v>7623085.9780517817</v>
      </c>
      <c r="H58" s="308">
        <f>'6.Cons Profit &amp; Loss'!G51</f>
        <v>8537156.7414187491</v>
      </c>
      <c r="I58" s="308">
        <f>'6.Cons Profit &amp; Loss'!H51</f>
        <v>9543200.0722391978</v>
      </c>
    </row>
    <row r="59" spans="2:10">
      <c r="B59" s="88"/>
      <c r="C59" s="308"/>
      <c r="D59" s="308"/>
      <c r="E59" s="308"/>
      <c r="F59" s="308"/>
      <c r="G59" s="308"/>
      <c r="H59" s="308"/>
      <c r="I59" s="308"/>
    </row>
    <row r="60" spans="2:10">
      <c r="B60" s="88" t="s">
        <v>42</v>
      </c>
      <c r="C60" s="308">
        <f>'6.Cons Profit &amp; Loss'!B42</f>
        <v>2056770.2286839997</v>
      </c>
      <c r="D60" s="308">
        <f>'6.Cons Profit &amp; Loss'!C42</f>
        <v>2056770.2286839997</v>
      </c>
      <c r="E60" s="308">
        <f>'6.Cons Profit &amp; Loss'!D42</f>
        <v>2056770.2286839997</v>
      </c>
      <c r="F60" s="308">
        <f>'6.Cons Profit &amp; Loss'!E42</f>
        <v>2056770.2286839997</v>
      </c>
      <c r="G60" s="308">
        <f>'6.Cons Profit &amp; Loss'!F42</f>
        <v>2056770.2286839997</v>
      </c>
      <c r="H60" s="308">
        <f>'6.Cons Profit &amp; Loss'!G42</f>
        <v>2056770.2286839997</v>
      </c>
      <c r="I60" s="308">
        <f>'6.Cons Profit &amp; Loss'!H42</f>
        <v>2056770.2286839997</v>
      </c>
    </row>
    <row r="61" spans="2:10">
      <c r="B61" s="102" t="s">
        <v>48</v>
      </c>
      <c r="C61" s="308">
        <f>'6.Cons Profit &amp; Loss'!B43</f>
        <v>6000</v>
      </c>
      <c r="D61" s="308">
        <f>'6.Cons Profit &amp; Loss'!C43</f>
        <v>6000</v>
      </c>
      <c r="E61" s="308">
        <f>'6.Cons Profit &amp; Loss'!D43</f>
        <v>6000</v>
      </c>
      <c r="F61" s="308">
        <f>'6.Cons Profit &amp; Loss'!E43</f>
        <v>6000</v>
      </c>
      <c r="G61" s="308">
        <f>'6.Cons Profit &amp; Loss'!F43</f>
        <v>6000</v>
      </c>
      <c r="H61" s="308">
        <f>'6.Cons Profit &amp; Loss'!G43</f>
        <v>0</v>
      </c>
      <c r="I61" s="308">
        <f>'6.Cons Profit &amp; Loss'!H43</f>
        <v>0</v>
      </c>
    </row>
    <row r="62" spans="2:10">
      <c r="B62" s="88"/>
      <c r="C62" s="308"/>
      <c r="D62" s="308"/>
      <c r="E62" s="308"/>
      <c r="F62" s="308"/>
      <c r="G62" s="308"/>
      <c r="H62" s="308"/>
      <c r="I62" s="308"/>
    </row>
    <row r="63" spans="2:10">
      <c r="B63" s="88" t="s">
        <v>32</v>
      </c>
      <c r="C63" s="308">
        <f>SUM(C58:C61)</f>
        <v>8660195.5301152132</v>
      </c>
      <c r="D63" s="308">
        <f t="shared" ref="D63:I63" si="7">SUM(D58:D61)</f>
        <v>7502446.7442300003</v>
      </c>
      <c r="E63" s="308">
        <f t="shared" si="7"/>
        <v>8141717.3369791722</v>
      </c>
      <c r="F63" s="308">
        <f t="shared" si="7"/>
        <v>8868882.5498360805</v>
      </c>
      <c r="G63" s="308">
        <f t="shared" si="7"/>
        <v>9685856.2067357823</v>
      </c>
      <c r="H63" s="308">
        <f t="shared" si="7"/>
        <v>10593926.97010275</v>
      </c>
      <c r="I63" s="308">
        <f t="shared" si="7"/>
        <v>11599970.300923198</v>
      </c>
    </row>
    <row r="64" spans="2:10">
      <c r="B64" s="88"/>
      <c r="C64" s="88"/>
      <c r="D64" s="88"/>
      <c r="E64" s="88"/>
      <c r="F64" s="88"/>
      <c r="G64" s="88"/>
      <c r="H64" s="88"/>
      <c r="I64" s="88"/>
    </row>
    <row r="65" spans="2:10" ht="16.5">
      <c r="B65" s="11" t="s">
        <v>43</v>
      </c>
      <c r="C65" s="103">
        <f>1/1.1</f>
        <v>0.90909090909090906</v>
      </c>
      <c r="D65" s="103">
        <f t="shared" ref="D65:I65" si="8">C65/1.1</f>
        <v>0.82644628099173545</v>
      </c>
      <c r="E65" s="103">
        <f t="shared" si="8"/>
        <v>0.75131480090157765</v>
      </c>
      <c r="F65" s="103">
        <f t="shared" si="8"/>
        <v>0.68301345536507052</v>
      </c>
      <c r="G65" s="103">
        <f t="shared" si="8"/>
        <v>0.62092132305915493</v>
      </c>
      <c r="H65" s="103">
        <f t="shared" si="8"/>
        <v>0.56447393005377711</v>
      </c>
      <c r="I65" s="103">
        <f t="shared" si="8"/>
        <v>0.51315811823070645</v>
      </c>
    </row>
    <row r="66" spans="2:10">
      <c r="B66" s="88"/>
      <c r="C66" s="88"/>
      <c r="D66" s="88"/>
      <c r="E66" s="88"/>
      <c r="F66" s="88"/>
      <c r="G66" s="88"/>
      <c r="H66" s="88"/>
      <c r="I66" s="88"/>
    </row>
    <row r="67" spans="2:10" ht="16.5">
      <c r="B67" s="11" t="s">
        <v>44</v>
      </c>
      <c r="C67" s="89">
        <f>C63*C65</f>
        <v>7872905.0273774667</v>
      </c>
      <c r="D67" s="89">
        <f t="shared" ref="D67:I67" si="9">D63*D65</f>
        <v>6200369.2101074373</v>
      </c>
      <c r="E67" s="89">
        <f t="shared" si="9"/>
        <v>6116992.74002943</v>
      </c>
      <c r="F67" s="89">
        <f t="shared" si="9"/>
        <v>6057566.1155905183</v>
      </c>
      <c r="G67" s="89">
        <f t="shared" si="9"/>
        <v>6014154.65084711</v>
      </c>
      <c r="H67" s="89">
        <f t="shared" si="9"/>
        <v>5979995.5915166028</v>
      </c>
      <c r="I67" s="89">
        <f t="shared" si="9"/>
        <v>5952618.9311538301</v>
      </c>
    </row>
    <row r="68" spans="2:10">
      <c r="B68" s="87"/>
      <c r="C68" s="105"/>
      <c r="D68" s="105"/>
      <c r="E68" s="105"/>
      <c r="F68" s="105"/>
      <c r="G68" s="105"/>
      <c r="H68" s="105"/>
      <c r="I68" s="105"/>
    </row>
    <row r="69" spans="2:10" ht="16.5">
      <c r="B69" s="12" t="s">
        <v>45</v>
      </c>
      <c r="C69" s="105">
        <f>SUM(C67:I67)</f>
        <v>44194602.266622394</v>
      </c>
      <c r="D69" s="105"/>
      <c r="E69" s="105"/>
      <c r="F69" s="105"/>
      <c r="G69" s="105"/>
      <c r="H69" s="105"/>
      <c r="I69" s="105"/>
    </row>
    <row r="70" spans="2:10">
      <c r="B70" s="87"/>
      <c r="C70" s="105"/>
      <c r="D70" s="105"/>
      <c r="E70" s="105"/>
      <c r="F70" s="105"/>
      <c r="G70" s="105"/>
      <c r="H70" s="105"/>
      <c r="I70" s="105"/>
    </row>
    <row r="71" spans="2:10" ht="16.5">
      <c r="B71" s="12" t="s">
        <v>46</v>
      </c>
      <c r="C71" s="105">
        <f>'1.Project Cost and MOF'!D12</f>
        <v>38706246.66594369</v>
      </c>
      <c r="D71" s="105"/>
      <c r="E71" s="105"/>
      <c r="F71" s="105"/>
      <c r="G71" s="105"/>
      <c r="H71" s="105"/>
      <c r="I71" s="105"/>
    </row>
    <row r="72" spans="2:10">
      <c r="B72" s="87"/>
      <c r="C72" s="104"/>
      <c r="D72" s="87"/>
      <c r="E72" s="87"/>
      <c r="F72" s="87"/>
      <c r="G72" s="87"/>
      <c r="H72" s="87"/>
      <c r="I72" s="87"/>
    </row>
    <row r="73" spans="2:10" ht="16.5">
      <c r="B73" s="12" t="s">
        <v>47</v>
      </c>
      <c r="C73" s="104">
        <f>C69-C71</f>
        <v>5488355.6006787047</v>
      </c>
      <c r="D73" s="87"/>
      <c r="E73" s="87"/>
      <c r="F73" s="87"/>
      <c r="G73" s="87"/>
      <c r="H73" s="87"/>
      <c r="I73" s="87"/>
    </row>
    <row r="75" spans="2:10" ht="35.15" customHeight="1">
      <c r="B75" s="447" t="s">
        <v>438</v>
      </c>
      <c r="C75" s="447"/>
      <c r="D75" s="447"/>
      <c r="E75" s="447"/>
      <c r="F75" s="447"/>
      <c r="G75" s="447"/>
      <c r="H75" s="447"/>
      <c r="I75" s="447"/>
      <c r="J75" s="447"/>
    </row>
    <row r="76" spans="2:10" ht="17.5">
      <c r="B76" s="416" t="s">
        <v>588</v>
      </c>
      <c r="C76" s="416"/>
      <c r="D76" s="416"/>
      <c r="E76" s="416"/>
      <c r="F76" s="416"/>
      <c r="G76" s="416"/>
      <c r="H76" s="416"/>
      <c r="I76" s="416"/>
    </row>
    <row r="77" spans="2:10">
      <c r="B77" s="87"/>
      <c r="C77" s="87"/>
      <c r="D77" s="87"/>
      <c r="E77" s="87"/>
      <c r="F77" s="87"/>
      <c r="G77" s="87"/>
      <c r="H77" s="87"/>
      <c r="I77" s="87"/>
    </row>
    <row r="78" spans="2:10" ht="15.5">
      <c r="B78" s="65" t="s">
        <v>0</v>
      </c>
      <c r="C78" s="65" t="s">
        <v>2</v>
      </c>
      <c r="D78" s="65" t="s">
        <v>3</v>
      </c>
      <c r="E78" s="65" t="s">
        <v>4</v>
      </c>
      <c r="F78" s="65" t="s">
        <v>5</v>
      </c>
      <c r="G78" s="65" t="s">
        <v>6</v>
      </c>
      <c r="H78" s="65" t="s">
        <v>171</v>
      </c>
      <c r="I78" s="65" t="s">
        <v>170</v>
      </c>
    </row>
    <row r="79" spans="2:10" ht="15.5">
      <c r="B79" s="62"/>
      <c r="C79" s="63"/>
      <c r="D79" s="63"/>
      <c r="E79" s="63"/>
      <c r="F79" s="63"/>
      <c r="G79" s="63"/>
      <c r="H79" s="63"/>
      <c r="I79" s="63"/>
    </row>
    <row r="80" spans="2:10">
      <c r="B80" s="90" t="s">
        <v>27</v>
      </c>
      <c r="C80" s="89">
        <f>'6.Cons Profit &amp; Loss'!B51</f>
        <v>6597425.3014312135</v>
      </c>
      <c r="D80" s="89">
        <f>'6.Cons Profit &amp; Loss'!C51</f>
        <v>5439676.5155460006</v>
      </c>
      <c r="E80" s="89">
        <f>'6.Cons Profit &amp; Loss'!D51</f>
        <v>6078947.1082951725</v>
      </c>
      <c r="F80" s="89">
        <f>'6.Cons Profit &amp; Loss'!E51</f>
        <v>6806112.3211520799</v>
      </c>
      <c r="G80" s="89">
        <f>'6.Cons Profit &amp; Loss'!F51</f>
        <v>7623085.9780517817</v>
      </c>
      <c r="H80" s="89">
        <f>'6.Cons Profit &amp; Loss'!G51</f>
        <v>8537156.7414187491</v>
      </c>
      <c r="I80" s="89">
        <f>'6.Cons Profit &amp; Loss'!H51</f>
        <v>9543200.0722391978</v>
      </c>
    </row>
    <row r="81" spans="2:10">
      <c r="B81" s="88"/>
      <c r="C81" s="88"/>
      <c r="D81" s="88"/>
      <c r="E81" s="88"/>
      <c r="F81" s="88"/>
      <c r="G81" s="88"/>
      <c r="H81" s="88"/>
      <c r="I81" s="88"/>
    </row>
    <row r="82" spans="2:10">
      <c r="B82" s="90" t="s">
        <v>124</v>
      </c>
      <c r="C82" s="464">
        <f>AVERAGE(C80:I80)+550000</f>
        <v>7782229.1483048853</v>
      </c>
      <c r="D82" s="464"/>
      <c r="E82" s="464"/>
      <c r="F82" s="464"/>
      <c r="G82" s="464"/>
      <c r="H82" s="464"/>
      <c r="I82" s="464"/>
    </row>
    <row r="83" spans="2:10">
      <c r="B83" s="90" t="s">
        <v>125</v>
      </c>
      <c r="C83" s="464">
        <f>'1.Project Cost and MOF'!D12</f>
        <v>38706246.66594369</v>
      </c>
      <c r="D83" s="464"/>
      <c r="E83" s="464"/>
      <c r="F83" s="464"/>
      <c r="G83" s="464"/>
      <c r="H83" s="464"/>
      <c r="I83" s="464"/>
    </row>
    <row r="84" spans="2:10">
      <c r="B84" s="88"/>
      <c r="C84" s="88"/>
      <c r="D84" s="88"/>
      <c r="E84" s="88"/>
      <c r="F84" s="88"/>
      <c r="G84" s="88"/>
      <c r="H84" s="88"/>
      <c r="I84" s="88"/>
    </row>
    <row r="85" spans="2:10">
      <c r="B85" s="238" t="s">
        <v>126</v>
      </c>
      <c r="C85" s="465">
        <f>C82/C83</f>
        <v>0.20105873905754348</v>
      </c>
      <c r="D85" s="465"/>
      <c r="E85" s="465"/>
      <c r="F85" s="465"/>
      <c r="G85" s="465"/>
      <c r="H85" s="465"/>
      <c r="I85" s="465"/>
    </row>
    <row r="88" spans="2:10">
      <c r="B88" s="463" t="s">
        <v>439</v>
      </c>
      <c r="C88" s="463"/>
      <c r="D88" s="463"/>
      <c r="E88" s="463"/>
      <c r="F88" s="463"/>
      <c r="G88" s="463"/>
      <c r="H88" s="463"/>
      <c r="I88" s="463"/>
    </row>
    <row r="90" spans="2:10" ht="17.5">
      <c r="B90" s="416" t="s">
        <v>589</v>
      </c>
      <c r="C90" s="416"/>
      <c r="D90" s="416"/>
      <c r="E90" s="416"/>
      <c r="F90" s="416"/>
      <c r="G90" s="416"/>
      <c r="H90" s="416"/>
      <c r="I90" s="416"/>
      <c r="J90" s="416"/>
    </row>
    <row r="92" spans="2:10">
      <c r="B92" s="97" t="s">
        <v>0</v>
      </c>
      <c r="C92" s="97" t="s">
        <v>343</v>
      </c>
      <c r="D92" s="97" t="s">
        <v>2</v>
      </c>
      <c r="E92" s="97" t="s">
        <v>3</v>
      </c>
      <c r="F92" s="97" t="s">
        <v>4</v>
      </c>
      <c r="G92" s="97" t="s">
        <v>5</v>
      </c>
      <c r="H92" s="97" t="s">
        <v>6</v>
      </c>
      <c r="I92" s="97" t="s">
        <v>171</v>
      </c>
      <c r="J92" s="97" t="s">
        <v>170</v>
      </c>
    </row>
    <row r="93" spans="2:10">
      <c r="B93" s="98"/>
      <c r="C93" s="98"/>
      <c r="D93" s="99"/>
      <c r="E93" s="99"/>
      <c r="F93" s="99"/>
      <c r="G93" s="99"/>
      <c r="H93" s="99"/>
      <c r="I93" s="99"/>
      <c r="J93" s="99"/>
    </row>
    <row r="94" spans="2:10">
      <c r="B94" s="19" t="s">
        <v>285</v>
      </c>
      <c r="C94" s="100">
        <f>'1.Project Cost and MOF'!D12</f>
        <v>38706246.66594369</v>
      </c>
      <c r="D94" s="99"/>
      <c r="E94" s="99"/>
      <c r="F94" s="99"/>
      <c r="G94" s="99"/>
      <c r="H94" s="99"/>
      <c r="I94" s="99"/>
      <c r="J94" s="99"/>
    </row>
    <row r="95" spans="2:10">
      <c r="B95" s="20" t="str">
        <f>B58</f>
        <v>Profit after Tax &amp; Dividend</v>
      </c>
      <c r="C95" s="20"/>
      <c r="D95" s="21">
        <f>'6.Cons Profit &amp; Loss'!B51</f>
        <v>6597425.3014312135</v>
      </c>
      <c r="E95" s="21">
        <f>'6.Cons Profit &amp; Loss'!C51</f>
        <v>5439676.5155460006</v>
      </c>
      <c r="F95" s="21">
        <f>'6.Cons Profit &amp; Loss'!D51</f>
        <v>6078947.1082951725</v>
      </c>
      <c r="G95" s="21">
        <f>'6.Cons Profit &amp; Loss'!E51</f>
        <v>6806112.3211520799</v>
      </c>
      <c r="H95" s="21">
        <f>'6.Cons Profit &amp; Loss'!F51</f>
        <v>7623085.9780517817</v>
      </c>
      <c r="I95" s="21">
        <f>'6.Cons Profit &amp; Loss'!G51</f>
        <v>8537156.7414187491</v>
      </c>
      <c r="J95" s="21">
        <f>'6.Cons Profit &amp; Loss'!H51</f>
        <v>9543200.0722391978</v>
      </c>
    </row>
    <row r="96" spans="2:10">
      <c r="B96" s="20" t="str">
        <f>B60</f>
        <v>Add: Deprication</v>
      </c>
      <c r="C96" s="20"/>
      <c r="D96" s="85">
        <f>'6.Cons Profit &amp; Loss'!B42</f>
        <v>2056770.2286839997</v>
      </c>
      <c r="E96" s="85">
        <f>'6.Cons Profit &amp; Loss'!C42</f>
        <v>2056770.2286839997</v>
      </c>
      <c r="F96" s="85">
        <f>'6.Cons Profit &amp; Loss'!D42</f>
        <v>2056770.2286839997</v>
      </c>
      <c r="G96" s="85">
        <f>'6.Cons Profit &amp; Loss'!E42</f>
        <v>2056770.2286839997</v>
      </c>
      <c r="H96" s="85">
        <f>'6.Cons Profit &amp; Loss'!F42</f>
        <v>2056770.2286839997</v>
      </c>
      <c r="I96" s="85">
        <f>'6.Cons Profit &amp; Loss'!G42</f>
        <v>2056770.2286839997</v>
      </c>
      <c r="J96" s="85">
        <f>'6.Cons Profit &amp; Loss'!H42</f>
        <v>2056770.2286839997</v>
      </c>
    </row>
    <row r="97" spans="2:10">
      <c r="B97" s="20" t="str">
        <f>B61</f>
        <v>Add. Preliminary exp Written off</v>
      </c>
      <c r="C97" s="20"/>
      <c r="D97" s="85">
        <f>'6.Cons Profit &amp; Loss'!B43</f>
        <v>6000</v>
      </c>
      <c r="E97" s="85">
        <f>'6.Cons Profit &amp; Loss'!C43</f>
        <v>6000</v>
      </c>
      <c r="F97" s="85">
        <f>'6.Cons Profit &amp; Loss'!D43</f>
        <v>6000</v>
      </c>
      <c r="G97" s="85">
        <f>'6.Cons Profit &amp; Loss'!E43</f>
        <v>6000</v>
      </c>
      <c r="H97" s="85">
        <f>'6.Cons Profit &amp; Loss'!F43</f>
        <v>6000</v>
      </c>
      <c r="I97" s="85">
        <f>'6.Cons Profit &amp; Loss'!G43</f>
        <v>0</v>
      </c>
      <c r="J97" s="85">
        <f>'6.Cons Profit &amp; Loss'!H43</f>
        <v>0</v>
      </c>
    </row>
    <row r="98" spans="2:10">
      <c r="B98" s="20" t="str">
        <f>B63</f>
        <v xml:space="preserve">Net Cash Accrual (A)      </v>
      </c>
      <c r="C98" s="20"/>
      <c r="D98" s="237">
        <f>SUM(D95:D97)</f>
        <v>8660195.5301152132</v>
      </c>
      <c r="E98" s="237">
        <f t="shared" ref="E98:J98" si="10">SUM(E95:E97)</f>
        <v>7502446.7442300003</v>
      </c>
      <c r="F98" s="237">
        <f t="shared" si="10"/>
        <v>8141717.3369791722</v>
      </c>
      <c r="G98" s="237">
        <f t="shared" si="10"/>
        <v>8868882.5498360805</v>
      </c>
      <c r="H98" s="237">
        <f t="shared" si="10"/>
        <v>9685856.2067357823</v>
      </c>
      <c r="I98" s="237">
        <f t="shared" si="10"/>
        <v>10593926.97010275</v>
      </c>
      <c r="J98" s="237">
        <f t="shared" si="10"/>
        <v>11599970.300923198</v>
      </c>
    </row>
    <row r="99" spans="2:10">
      <c r="B99" s="19" t="s">
        <v>286</v>
      </c>
      <c r="C99" s="101"/>
      <c r="D99" s="64">
        <f>D98-C94</f>
        <v>-30046051.135828476</v>
      </c>
      <c r="E99" s="64">
        <f>D99+E98</f>
        <v>-22543604.391598478</v>
      </c>
      <c r="F99" s="64">
        <f>E99+F98</f>
        <v>-14401887.054619305</v>
      </c>
      <c r="G99" s="64">
        <f>F99+G98</f>
        <v>-5533004.5047832243</v>
      </c>
      <c r="H99" s="64">
        <f>G99+H98</f>
        <v>4152851.701952558</v>
      </c>
      <c r="I99" s="86"/>
      <c r="J99" s="86"/>
    </row>
    <row r="100" spans="2:10">
      <c r="B100" s="7"/>
      <c r="C100" s="7"/>
      <c r="D100" s="7"/>
      <c r="E100" s="7"/>
      <c r="F100" s="7"/>
      <c r="G100" s="7"/>
      <c r="H100" s="7"/>
      <c r="I100" s="7"/>
      <c r="J100" s="7"/>
    </row>
    <row r="101" spans="2:10">
      <c r="B101" s="22" t="s">
        <v>287</v>
      </c>
      <c r="C101" s="7"/>
      <c r="D101" s="57">
        <f>4+(-G99/H98)</f>
        <v>4.5712457821679653</v>
      </c>
      <c r="E101" s="7"/>
      <c r="F101" s="7"/>
      <c r="G101" s="7"/>
      <c r="H101" s="7"/>
      <c r="I101" s="7"/>
      <c r="J101" s="7"/>
    </row>
    <row r="102" spans="2:10">
      <c r="B102" s="7"/>
      <c r="C102" s="7"/>
      <c r="D102" s="7"/>
      <c r="E102" s="7"/>
      <c r="F102" s="7"/>
      <c r="G102" s="7"/>
      <c r="H102" s="7"/>
      <c r="I102" s="7"/>
      <c r="J102" s="7"/>
    </row>
    <row r="103" spans="2:10">
      <c r="B103" s="463" t="s">
        <v>440</v>
      </c>
      <c r="C103" s="463"/>
      <c r="D103" s="463"/>
      <c r="E103" s="463"/>
      <c r="F103" s="463"/>
      <c r="G103" s="463"/>
      <c r="H103" s="463"/>
      <c r="I103" s="463"/>
      <c r="J103" s="463"/>
    </row>
    <row r="105" spans="2:10" ht="17.5">
      <c r="B105" s="416" t="s">
        <v>590</v>
      </c>
      <c r="C105" s="416"/>
      <c r="D105" s="416"/>
      <c r="E105" s="416"/>
      <c r="F105" s="416"/>
      <c r="G105" s="416"/>
      <c r="H105" s="416"/>
      <c r="I105" s="416"/>
    </row>
    <row r="107" spans="2:10" ht="15.5">
      <c r="B107" s="65" t="s">
        <v>0</v>
      </c>
      <c r="C107" s="65" t="s">
        <v>2</v>
      </c>
      <c r="D107" s="65" t="s">
        <v>3</v>
      </c>
      <c r="E107" s="65" t="s">
        <v>4</v>
      </c>
      <c r="F107" s="65" t="s">
        <v>5</v>
      </c>
      <c r="G107" s="65" t="s">
        <v>6</v>
      </c>
      <c r="H107" s="65" t="s">
        <v>171</v>
      </c>
      <c r="I107" s="65" t="s">
        <v>170</v>
      </c>
    </row>
    <row r="108" spans="2:10" ht="15.5">
      <c r="B108" s="62"/>
      <c r="C108" s="63"/>
      <c r="D108" s="63"/>
      <c r="E108" s="63"/>
      <c r="F108" s="63"/>
      <c r="G108" s="63"/>
      <c r="H108" s="63"/>
      <c r="I108" s="63"/>
    </row>
    <row r="109" spans="2:10">
      <c r="B109" s="88" t="s">
        <v>346</v>
      </c>
      <c r="C109" s="89">
        <f>'6.Cons Profit &amp; Loss'!B40</f>
        <v>11662400.375396378</v>
      </c>
      <c r="D109" s="89">
        <f>'6.Cons Profit &amp; Loss'!C40</f>
        <v>10415516.542249888</v>
      </c>
      <c r="E109" s="89">
        <f>'6.Cons Profit &amp; Loss'!D40</f>
        <v>11380859.29649204</v>
      </c>
      <c r="F109" s="89">
        <f>'6.Cons Profit &amp; Loss'!E40</f>
        <v>12416697.534802735</v>
      </c>
      <c r="G109" s="89">
        <f>'6.Cons Profit &amp; Loss'!F40</f>
        <v>13527667.448703304</v>
      </c>
      <c r="H109" s="89">
        <f>'6.Cons Profit &amp; Loss'!G40</f>
        <v>14718692.610156938</v>
      </c>
      <c r="I109" s="89">
        <f>'6.Cons Profit &amp; Loss'!H40</f>
        <v>15995001.119134143</v>
      </c>
    </row>
    <row r="110" spans="2:10">
      <c r="B110" s="88" t="s">
        <v>356</v>
      </c>
      <c r="C110" s="89">
        <f>'6.Cons Profit &amp; Loss'!B42</f>
        <v>2056770.2286839997</v>
      </c>
      <c r="D110" s="89">
        <f>'6.Cons Profit &amp; Loss'!C42</f>
        <v>2056770.2286839997</v>
      </c>
      <c r="E110" s="89">
        <f>'6.Cons Profit &amp; Loss'!D42</f>
        <v>2056770.2286839997</v>
      </c>
      <c r="F110" s="89">
        <f>'6.Cons Profit &amp; Loss'!E42</f>
        <v>2056770.2286839997</v>
      </c>
      <c r="G110" s="89">
        <f>'6.Cons Profit &amp; Loss'!F42</f>
        <v>2056770.2286839997</v>
      </c>
      <c r="H110" s="89">
        <f>'6.Cons Profit &amp; Loss'!G42</f>
        <v>2056770.2286839997</v>
      </c>
      <c r="I110" s="89">
        <f>'6.Cons Profit &amp; Loss'!H42</f>
        <v>2056770.2286839997</v>
      </c>
    </row>
    <row r="111" spans="2:10">
      <c r="B111" s="88" t="s">
        <v>357</v>
      </c>
      <c r="C111" s="89">
        <f>'6.Cons Profit &amp; Loss'!B43</f>
        <v>6000</v>
      </c>
      <c r="D111" s="89">
        <f>'6.Cons Profit &amp; Loss'!C43</f>
        <v>6000</v>
      </c>
      <c r="E111" s="89">
        <f>'6.Cons Profit &amp; Loss'!D43</f>
        <v>6000</v>
      </c>
      <c r="F111" s="89">
        <f>'6.Cons Profit &amp; Loss'!E43</f>
        <v>6000</v>
      </c>
      <c r="G111" s="89">
        <f>'6.Cons Profit &amp; Loss'!F43</f>
        <v>6000</v>
      </c>
      <c r="H111" s="89">
        <f>'6.Cons Profit &amp; Loss'!G43</f>
        <v>0</v>
      </c>
      <c r="I111" s="89">
        <f>'6.Cons Profit &amp; Loss'!H43</f>
        <v>0</v>
      </c>
    </row>
    <row r="112" spans="2:10">
      <c r="B112" s="88" t="s">
        <v>358</v>
      </c>
      <c r="C112" s="89">
        <f>'8.Cash Flow '!C26</f>
        <v>1335129.0901604136</v>
      </c>
      <c r="D112" s="89">
        <f>'8.Cash Flow '!D26</f>
        <v>1209452.3571692896</v>
      </c>
      <c r="E112" s="89">
        <f>'8.Cash Flow '!E26</f>
        <v>1045739.0458679165</v>
      </c>
      <c r="F112" s="89">
        <f>'8.Cash Flow '!F26</f>
        <v>861262.7889277417</v>
      </c>
      <c r="G112" s="89">
        <f>'8.Cash Flow '!G26</f>
        <v>653390.32514249627</v>
      </c>
      <c r="H112" s="89">
        <f>'8.Cash Flow '!H26</f>
        <v>419154.4298740807</v>
      </c>
      <c r="I112" s="89">
        <f>'8.Cash Flow '!I26</f>
        <v>155211.56013025914</v>
      </c>
    </row>
    <row r="113" spans="2:18">
      <c r="B113" s="88" t="s">
        <v>718</v>
      </c>
      <c r="C113" s="89">
        <f>'8.Cash Flow '!C28</f>
        <v>426399.89253972966</v>
      </c>
      <c r="D113" s="89">
        <f>'8.Cash Flow '!D28</f>
        <v>617313.25296978687</v>
      </c>
      <c r="E113" s="89">
        <f>'8.Cash Flow '!E28</f>
        <v>666186.63333632227</v>
      </c>
      <c r="F113" s="89">
        <f>'8.Cash Flow '!F28</f>
        <v>718404.06860708678</v>
      </c>
      <c r="G113" s="89">
        <f>'8.Cash Flow '!G28</f>
        <v>774177.78082158673</v>
      </c>
      <c r="H113" s="89">
        <f>'8.Cash Flow '!H28</f>
        <v>833732.85408601898</v>
      </c>
      <c r="I113" s="89">
        <f>'8.Cash Flow '!I28</f>
        <v>897307.99022484047</v>
      </c>
    </row>
    <row r="114" spans="2:18">
      <c r="B114" s="90" t="s">
        <v>1</v>
      </c>
      <c r="C114" s="91">
        <f>SUM(C109:C113)</f>
        <v>15486699.586780524</v>
      </c>
      <c r="D114" s="91">
        <f t="shared" ref="D114:I114" si="11">SUM(D109:D113)</f>
        <v>14305052.381072965</v>
      </c>
      <c r="E114" s="91">
        <f t="shared" si="11"/>
        <v>15155555.204380279</v>
      </c>
      <c r="F114" s="91">
        <f t="shared" si="11"/>
        <v>16059134.621021563</v>
      </c>
      <c r="G114" s="91">
        <f t="shared" si="11"/>
        <v>17018005.783351388</v>
      </c>
      <c r="H114" s="91">
        <f t="shared" si="11"/>
        <v>18028350.122801039</v>
      </c>
      <c r="I114" s="91">
        <f t="shared" si="11"/>
        <v>19104290.898173247</v>
      </c>
    </row>
    <row r="115" spans="2:18">
      <c r="B115" s="88"/>
      <c r="C115" s="88"/>
      <c r="D115" s="88"/>
      <c r="E115" s="88"/>
      <c r="F115" s="88"/>
      <c r="G115" s="88"/>
      <c r="H115" s="88"/>
      <c r="I115" s="88"/>
    </row>
    <row r="116" spans="2:18">
      <c r="B116" s="92" t="s">
        <v>288</v>
      </c>
      <c r="C116" s="93">
        <f>'8.Cash Flow '!C25+'8.Cash Flow '!C26+'8.Cash Flow '!C27+'8.Cash Flow '!C28</f>
        <v>5904740.7686471334</v>
      </c>
      <c r="D116" s="93">
        <f>'8.Cash Flow '!D25+'8.Cash Flow '!D26+'8.Cash Flow '!D27+'8.Cash Flow '!D28</f>
        <v>8261902.3468839899</v>
      </c>
      <c r="E116" s="93">
        <f>'8.Cash Flow '!E25+'8.Cash Flow '!E26+'8.Cash Flow '!E27+'8.Cash Flow '!E28</f>
        <v>8718053.8969716541</v>
      </c>
      <c r="F116" s="93">
        <f>'8.Cash Flow '!F25+'8.Cash Flow '!F26+'8.Cash Flow '!F27+'8.Cash Flow '!F28</f>
        <v>9205416.6261654552</v>
      </c>
      <c r="G116" s="93">
        <f>'8.Cash Flow '!G25+'8.Cash Flow '!G26+'8.Cash Flow '!G27+'8.Cash Flow '!G28</f>
        <v>9725971.273500789</v>
      </c>
      <c r="H116" s="93">
        <f>'8.Cash Flow '!H25+'8.Cash Flow '!H26+'8.Cash Flow '!H27+'8.Cash Flow '!H28</f>
        <v>10281818.623968825</v>
      </c>
      <c r="I116" s="93">
        <f>'8.Cash Flow '!I25+'8.Cash Flow '!I26+'8.Cash Flow '!I27+'8.Cash Flow '!I28</f>
        <v>10875186.561264491</v>
      </c>
    </row>
    <row r="117" spans="2:18">
      <c r="B117" s="88"/>
      <c r="C117" s="88"/>
      <c r="D117" s="88"/>
      <c r="E117" s="88"/>
      <c r="F117" s="88"/>
      <c r="G117" s="88"/>
      <c r="H117" s="88"/>
      <c r="I117" s="88"/>
    </row>
    <row r="118" spans="2:18">
      <c r="B118" s="94" t="s">
        <v>344</v>
      </c>
      <c r="C118" s="95">
        <f>C114/C116</f>
        <v>2.6227568988314394</v>
      </c>
      <c r="D118" s="95">
        <f t="shared" ref="D118:I118" si="12">D114/D116</f>
        <v>1.7314477683784502</v>
      </c>
      <c r="E118" s="95">
        <f t="shared" si="12"/>
        <v>1.738410358950039</v>
      </c>
      <c r="F118" s="95">
        <f t="shared" si="12"/>
        <v>1.7445309944337679</v>
      </c>
      <c r="G118" s="95">
        <f t="shared" si="12"/>
        <v>1.7497487196696075</v>
      </c>
      <c r="H118" s="95">
        <f t="shared" si="12"/>
        <v>1.7534203609440857</v>
      </c>
      <c r="I118" s="95">
        <f t="shared" si="12"/>
        <v>1.7566862683734901</v>
      </c>
    </row>
    <row r="119" spans="2:18">
      <c r="B119" s="87"/>
      <c r="C119" s="87"/>
      <c r="D119" s="87"/>
      <c r="E119" s="87"/>
      <c r="F119" s="87"/>
      <c r="G119" s="87"/>
      <c r="H119" s="87"/>
      <c r="I119" s="87"/>
    </row>
    <row r="120" spans="2:18">
      <c r="B120" s="87" t="s">
        <v>345</v>
      </c>
      <c r="C120" s="96">
        <f>AVERAGE(C118:I118)</f>
        <v>1.8710001956544116</v>
      </c>
      <c r="D120" s="87"/>
      <c r="E120" s="87"/>
      <c r="F120" s="87"/>
      <c r="G120" s="87"/>
      <c r="H120" s="87"/>
      <c r="I120" s="87"/>
    </row>
    <row r="122" spans="2:18" ht="29.5" customHeight="1">
      <c r="B122" s="447" t="s">
        <v>441</v>
      </c>
      <c r="C122" s="447"/>
      <c r="D122" s="447"/>
      <c r="E122" s="447"/>
      <c r="F122" s="447"/>
      <c r="G122" s="447"/>
      <c r="H122" s="447"/>
      <c r="I122" s="447"/>
      <c r="J122" s="447"/>
    </row>
    <row r="124" spans="2:18" ht="21">
      <c r="B124" s="458" t="s">
        <v>591</v>
      </c>
      <c r="C124" s="459"/>
      <c r="D124" s="459"/>
      <c r="E124" s="459"/>
      <c r="F124" s="459"/>
      <c r="G124" s="459"/>
      <c r="H124" s="459"/>
      <c r="I124" s="459"/>
      <c r="K124" s="460"/>
      <c r="L124" s="460"/>
      <c r="M124" s="460"/>
      <c r="N124" s="460"/>
      <c r="O124" s="460"/>
      <c r="P124" s="460"/>
      <c r="Q124" s="460"/>
      <c r="R124" s="460"/>
    </row>
    <row r="125" spans="2:18">
      <c r="B125" s="75" t="s">
        <v>359</v>
      </c>
      <c r="C125" s="76" t="s">
        <v>2</v>
      </c>
      <c r="D125" s="76" t="s">
        <v>3</v>
      </c>
      <c r="E125" s="76" t="s">
        <v>4</v>
      </c>
      <c r="F125" s="76" t="s">
        <v>5</v>
      </c>
      <c r="G125" s="76" t="s">
        <v>6</v>
      </c>
      <c r="H125" s="76" t="s">
        <v>171</v>
      </c>
      <c r="I125" s="76" t="s">
        <v>170</v>
      </c>
    </row>
    <row r="126" spans="2:18">
      <c r="B126" s="67" t="str">
        <f>'6.Cons Profit &amp; Loss'!A8</f>
        <v>Faclitiy 1 - Cleaning &amp; Grading</v>
      </c>
      <c r="C126" s="305">
        <f>'6.Cons Profit &amp; Loss'!B8*(1+$M$127)</f>
        <v>0</v>
      </c>
      <c r="D126" s="305">
        <f>'6.Cons Profit &amp; Loss'!C8*(1+$M$127)</f>
        <v>0</v>
      </c>
      <c r="E126" s="305">
        <f>'6.Cons Profit &amp; Loss'!D8*(1+$M$127)</f>
        <v>0</v>
      </c>
      <c r="F126" s="305">
        <f>'6.Cons Profit &amp; Loss'!E8*(1+$M$127)</f>
        <v>0</v>
      </c>
      <c r="G126" s="305">
        <f>'6.Cons Profit &amp; Loss'!F8*(1+$M$127)</f>
        <v>0</v>
      </c>
      <c r="H126" s="305">
        <f>'6.Cons Profit &amp; Loss'!G8*(1+$M$127)</f>
        <v>0</v>
      </c>
      <c r="I126" s="305">
        <f>'6.Cons Profit &amp; Loss'!H8*(1+$M$127)</f>
        <v>0</v>
      </c>
    </row>
    <row r="127" spans="2:18">
      <c r="B127" s="67" t="str">
        <f>'6.Cons Profit &amp; Loss'!A9</f>
        <v>Faclitiy 2 - Processing Unit- Dal Mill</v>
      </c>
      <c r="C127" s="305">
        <f>'6.Cons Profit &amp; Loss'!B9*(1+$M$127)</f>
        <v>76029394.895999998</v>
      </c>
      <c r="D127" s="305">
        <f>'6.Cons Profit &amp; Loss'!C9*(1+$M$127)</f>
        <v>86051850.05088</v>
      </c>
      <c r="E127" s="305">
        <f>'6.Cons Profit &amp; Loss'!D9*(1+$M$127)</f>
        <v>92867571.599544004</v>
      </c>
      <c r="F127" s="305">
        <f>'6.Cons Profit &amp; Loss'!E9*(1+$M$127)</f>
        <v>100149735.67794721</v>
      </c>
      <c r="G127" s="305">
        <f>'6.Cons Profit &amp; Loss'!F9*(1+$M$127)</f>
        <v>107927947.23519188</v>
      </c>
      <c r="H127" s="305">
        <f>'6.Cons Profit &amp; Loss'!G9*(1+$M$127)</f>
        <v>116233605.60896614</v>
      </c>
      <c r="I127" s="305">
        <f>'6.Cons Profit &amp; Loss'!H9*(1+$M$127)</f>
        <v>125100009.95202985</v>
      </c>
      <c r="L127" s="5" t="s">
        <v>380</v>
      </c>
      <c r="M127" s="246">
        <v>0.05</v>
      </c>
    </row>
    <row r="128" spans="2:18">
      <c r="B128" s="67" t="str">
        <f>'6.Cons Profit &amp; Loss'!A10</f>
        <v>Faclitiy 3 - Warehouse</v>
      </c>
      <c r="C128" s="305">
        <f>'6.Cons Profit &amp; Loss'!B10*(1+$M$127)</f>
        <v>0</v>
      </c>
      <c r="D128" s="305">
        <f>'6.Cons Profit &amp; Loss'!C10*(1+$M$127)</f>
        <v>0</v>
      </c>
      <c r="E128" s="305">
        <f>'6.Cons Profit &amp; Loss'!D10*(1+$M$127)</f>
        <v>0</v>
      </c>
      <c r="F128" s="305">
        <f>'6.Cons Profit &amp; Loss'!E10*(1+$M$127)</f>
        <v>0</v>
      </c>
      <c r="G128" s="305">
        <f>'6.Cons Profit &amp; Loss'!F10*(1+$M$127)</f>
        <v>0</v>
      </c>
      <c r="H128" s="305">
        <f>'6.Cons Profit &amp; Loss'!G10*(1+$M$127)</f>
        <v>0</v>
      </c>
      <c r="I128" s="305">
        <f>'6.Cons Profit &amp; Loss'!H10*(1+$M$127)</f>
        <v>0</v>
      </c>
      <c r="L128" s="5" t="s">
        <v>381</v>
      </c>
      <c r="M128" s="246">
        <v>0.05</v>
      </c>
    </row>
    <row r="129" spans="2:9">
      <c r="B129" s="67" t="str">
        <f>'6.Cons Profit &amp; Loss'!A11</f>
        <v xml:space="preserve">Faclitiy 4 - Custom Hiring </v>
      </c>
      <c r="C129" s="305">
        <f>'6.Cons Profit &amp; Loss'!B11*(1+$M$127)</f>
        <v>0</v>
      </c>
      <c r="D129" s="305">
        <f>'6.Cons Profit &amp; Loss'!C11*(1+$M$127)</f>
        <v>0</v>
      </c>
      <c r="E129" s="305">
        <f>'6.Cons Profit &amp; Loss'!D11*(1+$M$127)</f>
        <v>0</v>
      </c>
      <c r="F129" s="305">
        <f>'6.Cons Profit &amp; Loss'!E11*(1+$M$127)</f>
        <v>0</v>
      </c>
      <c r="G129" s="305">
        <f>'6.Cons Profit &amp; Loss'!F11*(1+$M$127)</f>
        <v>0</v>
      </c>
      <c r="H129" s="305">
        <f>'6.Cons Profit &amp; Loss'!G11*(1+$M$127)</f>
        <v>0</v>
      </c>
      <c r="I129" s="305">
        <f>'6.Cons Profit &amp; Loss'!H11*(1+$M$127)</f>
        <v>0</v>
      </c>
    </row>
    <row r="130" spans="2:9">
      <c r="B130" s="67" t="str">
        <f>'6.Cons Profit &amp; Loss'!A12</f>
        <v>Faclitiy 5 - Agri Input Centre</v>
      </c>
      <c r="C130" s="305">
        <f>'6.Cons Profit &amp; Loss'!B12*(1+$M$127)</f>
        <v>0</v>
      </c>
      <c r="D130" s="305">
        <f>'6.Cons Profit &amp; Loss'!C12*(1+$M$127)</f>
        <v>0</v>
      </c>
      <c r="E130" s="305">
        <f>'6.Cons Profit &amp; Loss'!D12*(1+$M$127)</f>
        <v>0</v>
      </c>
      <c r="F130" s="305">
        <f>'6.Cons Profit &amp; Loss'!E12*(1+$M$127)</f>
        <v>0</v>
      </c>
      <c r="G130" s="305">
        <f>'6.Cons Profit &amp; Loss'!F12*(1+$M$127)</f>
        <v>0</v>
      </c>
      <c r="H130" s="305">
        <f>'6.Cons Profit &amp; Loss'!G12*(1+$M$127)</f>
        <v>0</v>
      </c>
      <c r="I130" s="305">
        <f>'6.Cons Profit &amp; Loss'!H12*(1+$M$127)</f>
        <v>0</v>
      </c>
    </row>
    <row r="131" spans="2:9">
      <c r="B131" s="67" t="str">
        <f>'6.Cons Profit &amp; Loss'!A13</f>
        <v>Facility 6 - Processing Unit - Horti Commodity</v>
      </c>
      <c r="C131" s="305">
        <f>'6.Cons Profit &amp; Loss'!B13*(1+$M$127)</f>
        <v>0</v>
      </c>
      <c r="D131" s="305">
        <f>'6.Cons Profit &amp; Loss'!C13*(1+$M$127)</f>
        <v>0</v>
      </c>
      <c r="E131" s="305">
        <f>'6.Cons Profit &amp; Loss'!D13*(1+$M$127)</f>
        <v>0</v>
      </c>
      <c r="F131" s="305">
        <f>'6.Cons Profit &amp; Loss'!E13*(1+$M$127)</f>
        <v>0</v>
      </c>
      <c r="G131" s="305">
        <f>'6.Cons Profit &amp; Loss'!F13*(1+$M$127)</f>
        <v>0</v>
      </c>
      <c r="H131" s="305">
        <f>'6.Cons Profit &amp; Loss'!G13*(1+$M$127)</f>
        <v>0</v>
      </c>
      <c r="I131" s="305">
        <f>'6.Cons Profit &amp; Loss'!H13*(1+$M$127)</f>
        <v>0</v>
      </c>
    </row>
    <row r="132" spans="2:9">
      <c r="B132" s="67">
        <f>'6.Cons Profit &amp; Loss'!A14</f>
        <v>0</v>
      </c>
      <c r="C132" s="305">
        <f>'6.Cons Profit &amp; Loss'!B14*(1+$M$127)</f>
        <v>0</v>
      </c>
      <c r="D132" s="305">
        <f>'6.Cons Profit &amp; Loss'!C14*(1+$M$127)</f>
        <v>0</v>
      </c>
      <c r="E132" s="305">
        <f>'6.Cons Profit &amp; Loss'!D14*(1+$M$127)</f>
        <v>0</v>
      </c>
      <c r="F132" s="305">
        <f>'6.Cons Profit &amp; Loss'!E14*(1+$M$127)</f>
        <v>0</v>
      </c>
      <c r="G132" s="305">
        <f>'6.Cons Profit &amp; Loss'!F14*(1+$M$127)</f>
        <v>0</v>
      </c>
      <c r="H132" s="305">
        <f>'6.Cons Profit &amp; Loss'!G14*(1+$M$127)</f>
        <v>0</v>
      </c>
      <c r="I132" s="305">
        <f>'6.Cons Profit &amp; Loss'!H14*(1+$M$127)</f>
        <v>0</v>
      </c>
    </row>
    <row r="133" spans="2:9">
      <c r="B133" s="67" t="s">
        <v>360</v>
      </c>
      <c r="C133" s="305">
        <f>SUM(C126:C132)</f>
        <v>76029394.895999998</v>
      </c>
      <c r="D133" s="305">
        <f t="shared" ref="D133:I133" si="13">SUM(D126:D132)</f>
        <v>86051850.05088</v>
      </c>
      <c r="E133" s="305">
        <f t="shared" si="13"/>
        <v>92867571.599544004</v>
      </c>
      <c r="F133" s="305">
        <f t="shared" si="13"/>
        <v>100149735.67794721</v>
      </c>
      <c r="G133" s="305">
        <f t="shared" si="13"/>
        <v>107927947.23519188</v>
      </c>
      <c r="H133" s="305">
        <f t="shared" si="13"/>
        <v>116233605.60896614</v>
      </c>
      <c r="I133" s="305">
        <f t="shared" si="13"/>
        <v>125100009.95202985</v>
      </c>
    </row>
    <row r="134" spans="2:9">
      <c r="B134" s="67" t="s">
        <v>361</v>
      </c>
      <c r="C134" s="305"/>
      <c r="D134" s="305"/>
      <c r="E134" s="305"/>
      <c r="F134" s="305"/>
      <c r="G134" s="305"/>
      <c r="H134" s="305"/>
      <c r="I134" s="305"/>
    </row>
    <row r="135" spans="2:9">
      <c r="B135" s="67" t="s">
        <v>362</v>
      </c>
      <c r="C135" s="305">
        <f>'6.Cons Profit &amp; Loss'!B36</f>
        <v>4660052</v>
      </c>
      <c r="D135" s="305">
        <f>'6.Cons Profit &amp; Loss'!C36</f>
        <v>4893054.5999999996</v>
      </c>
      <c r="E135" s="305">
        <f>'6.Cons Profit &amp; Loss'!D36</f>
        <v>5137707.33</v>
      </c>
      <c r="F135" s="305">
        <f>'6.Cons Profit &amp; Loss'!E36</f>
        <v>5394592.6965000015</v>
      </c>
      <c r="G135" s="305">
        <f>'6.Cons Profit &amp; Loss'!F36</f>
        <v>5664322.3313250011</v>
      </c>
      <c r="H135" s="305">
        <f>'6.Cons Profit &amp; Loss'!G36</f>
        <v>5947538.4478912521</v>
      </c>
      <c r="I135" s="305">
        <f>'6.Cons Profit &amp; Loss'!H36</f>
        <v>6244915.3702858146</v>
      </c>
    </row>
    <row r="136" spans="2:9">
      <c r="B136" s="67" t="s">
        <v>316</v>
      </c>
      <c r="C136" s="305">
        <f>'6.Cons Profit &amp; Loss'!B25*(1+M127)</f>
        <v>58890819.901833802</v>
      </c>
      <c r="D136" s="305">
        <f>'6.Cons Profit &amp; Loss'!C25*(1+N127)</f>
        <v>66645571.763350114</v>
      </c>
      <c r="E136" s="305">
        <f>'6.Cons Profit &amp; Loss'!D25*(1+O127)</f>
        <v>71926739.658787966</v>
      </c>
      <c r="F136" s="305">
        <f>'6.Cons Profit &amp; Loss'!E25*(1+P127)</f>
        <v>77569410.414361268</v>
      </c>
      <c r="G136" s="305">
        <f>'6.Cons Profit &amp; Loss'!F25*(1+Q127)</f>
        <v>83596531.396344915</v>
      </c>
      <c r="H136" s="305">
        <f>'6.Cons Profit &amp; Loss'!G25*(1+R127)</f>
        <v>90032440.950490996</v>
      </c>
      <c r="I136" s="305">
        <f>'6.Cons Profit &amp; Loss'!H25*(1+S127)</f>
        <v>96902950.131560862</v>
      </c>
    </row>
    <row r="137" spans="2:9">
      <c r="B137" s="67" t="s">
        <v>363</v>
      </c>
      <c r="C137" s="305">
        <f t="shared" ref="C137:I137" si="14">SUM(C135:C136)</f>
        <v>63550871.901833802</v>
      </c>
      <c r="D137" s="305">
        <f t="shared" si="14"/>
        <v>71538626.363350108</v>
      </c>
      <c r="E137" s="305">
        <f t="shared" si="14"/>
        <v>77064446.988787964</v>
      </c>
      <c r="F137" s="305">
        <f t="shared" si="14"/>
        <v>82964003.110861272</v>
      </c>
      <c r="G137" s="305">
        <f t="shared" si="14"/>
        <v>89260853.72766991</v>
      </c>
      <c r="H137" s="305">
        <f t="shared" si="14"/>
        <v>95979979.398382246</v>
      </c>
      <c r="I137" s="305">
        <f t="shared" si="14"/>
        <v>103147865.50184667</v>
      </c>
    </row>
    <row r="138" spans="2:9">
      <c r="B138" s="70" t="s">
        <v>364</v>
      </c>
      <c r="C138" s="307">
        <f t="shared" ref="C138:I138" si="15">+C133-C137</f>
        <v>12478522.994166195</v>
      </c>
      <c r="D138" s="307">
        <f t="shared" si="15"/>
        <v>14513223.687529892</v>
      </c>
      <c r="E138" s="307">
        <f t="shared" si="15"/>
        <v>15803124.61075604</v>
      </c>
      <c r="F138" s="307">
        <f t="shared" si="15"/>
        <v>17185732.567085937</v>
      </c>
      <c r="G138" s="307">
        <f t="shared" si="15"/>
        <v>18667093.507521972</v>
      </c>
      <c r="H138" s="307">
        <f t="shared" si="15"/>
        <v>20253626.210583895</v>
      </c>
      <c r="I138" s="307">
        <f t="shared" si="15"/>
        <v>21952144.450183183</v>
      </c>
    </row>
    <row r="139" spans="2:9">
      <c r="B139" s="72"/>
      <c r="C139" s="73"/>
      <c r="D139" s="73"/>
      <c r="E139" s="73"/>
      <c r="F139" s="73"/>
      <c r="G139" s="73"/>
      <c r="H139" s="73"/>
      <c r="I139" s="73"/>
    </row>
    <row r="140" spans="2:9">
      <c r="B140" s="75" t="s">
        <v>365</v>
      </c>
      <c r="C140" s="76" t="s">
        <v>2</v>
      </c>
      <c r="D140" s="76" t="s">
        <v>3</v>
      </c>
      <c r="E140" s="76" t="s">
        <v>4</v>
      </c>
      <c r="F140" s="76" t="s">
        <v>5</v>
      </c>
      <c r="G140" s="76" t="s">
        <v>6</v>
      </c>
      <c r="H140" s="76" t="s">
        <v>171</v>
      </c>
      <c r="I140" s="76" t="s">
        <v>170</v>
      </c>
    </row>
    <row r="141" spans="2:9">
      <c r="B141" s="67" t="str">
        <f t="shared" ref="B141:B147" si="16">B126</f>
        <v>Faclitiy 1 - Cleaning &amp; Grading</v>
      </c>
      <c r="C141" s="69">
        <f>'6.Cons Profit &amp; Loss'!B8</f>
        <v>0</v>
      </c>
      <c r="D141" s="69">
        <f>'6.Cons Profit &amp; Loss'!C8</f>
        <v>0</v>
      </c>
      <c r="E141" s="69">
        <f>'6.Cons Profit &amp; Loss'!D8</f>
        <v>0</v>
      </c>
      <c r="F141" s="69">
        <f>'6.Cons Profit &amp; Loss'!E8</f>
        <v>0</v>
      </c>
      <c r="G141" s="69">
        <f>'6.Cons Profit &amp; Loss'!F8</f>
        <v>0</v>
      </c>
      <c r="H141" s="69">
        <f>'6.Cons Profit &amp; Loss'!G8</f>
        <v>0</v>
      </c>
      <c r="I141" s="69">
        <f>'6.Cons Profit &amp; Loss'!H8</f>
        <v>0</v>
      </c>
    </row>
    <row r="142" spans="2:9">
      <c r="B142" s="67" t="str">
        <f t="shared" si="16"/>
        <v>Faclitiy 2 - Processing Unit- Dal Mill</v>
      </c>
      <c r="C142" s="69">
        <f>'6.Cons Profit &amp; Loss'!B9</f>
        <v>72408947.519999996</v>
      </c>
      <c r="D142" s="69">
        <f>'6.Cons Profit &amp; Loss'!C9</f>
        <v>81954142.905599996</v>
      </c>
      <c r="E142" s="69">
        <f>'6.Cons Profit &amp; Loss'!D9</f>
        <v>88445306.285280004</v>
      </c>
      <c r="F142" s="69">
        <f>'6.Cons Profit &amp; Loss'!E9</f>
        <v>95380700.645664006</v>
      </c>
      <c r="G142" s="69">
        <f>'6.Cons Profit &amp; Loss'!F9</f>
        <v>102788521.17637321</v>
      </c>
      <c r="H142" s="69">
        <f>'6.Cons Profit &amp; Loss'!G9</f>
        <v>110698672.00853918</v>
      </c>
      <c r="I142" s="69">
        <f>'6.Cons Profit &amp; Loss'!H9</f>
        <v>119142866.62098081</v>
      </c>
    </row>
    <row r="143" spans="2:9">
      <c r="B143" s="67" t="str">
        <f t="shared" si="16"/>
        <v>Faclitiy 3 - Warehouse</v>
      </c>
      <c r="C143" s="69">
        <f>'6.Cons Profit &amp; Loss'!B10</f>
        <v>0</v>
      </c>
      <c r="D143" s="69">
        <f>'6.Cons Profit &amp; Loss'!C10</f>
        <v>0</v>
      </c>
      <c r="E143" s="69">
        <f>'6.Cons Profit &amp; Loss'!D10</f>
        <v>0</v>
      </c>
      <c r="F143" s="69">
        <f>'6.Cons Profit &amp; Loss'!E10</f>
        <v>0</v>
      </c>
      <c r="G143" s="69">
        <f>'6.Cons Profit &amp; Loss'!F10</f>
        <v>0</v>
      </c>
      <c r="H143" s="69">
        <f>'6.Cons Profit &amp; Loss'!G10</f>
        <v>0</v>
      </c>
      <c r="I143" s="69">
        <f>'6.Cons Profit &amp; Loss'!H10</f>
        <v>0</v>
      </c>
    </row>
    <row r="144" spans="2:9">
      <c r="B144" s="67" t="str">
        <f t="shared" si="16"/>
        <v xml:space="preserve">Faclitiy 4 - Custom Hiring </v>
      </c>
      <c r="C144" s="69">
        <f>'6.Cons Profit &amp; Loss'!B11</f>
        <v>0</v>
      </c>
      <c r="D144" s="69">
        <f>'6.Cons Profit &amp; Loss'!C11</f>
        <v>0</v>
      </c>
      <c r="E144" s="69">
        <f>'6.Cons Profit &amp; Loss'!D11</f>
        <v>0</v>
      </c>
      <c r="F144" s="69">
        <f>'6.Cons Profit &amp; Loss'!E11</f>
        <v>0</v>
      </c>
      <c r="G144" s="69">
        <f>'6.Cons Profit &amp; Loss'!F11</f>
        <v>0</v>
      </c>
      <c r="H144" s="69">
        <f>'6.Cons Profit &amp; Loss'!G11</f>
        <v>0</v>
      </c>
      <c r="I144" s="69">
        <f>'6.Cons Profit &amp; Loss'!H11</f>
        <v>0</v>
      </c>
    </row>
    <row r="145" spans="2:15">
      <c r="B145" s="67" t="str">
        <f t="shared" si="16"/>
        <v>Faclitiy 5 - Agri Input Centre</v>
      </c>
      <c r="C145" s="69">
        <f>'6.Cons Profit &amp; Loss'!B12</f>
        <v>0</v>
      </c>
      <c r="D145" s="69">
        <f>'6.Cons Profit &amp; Loss'!C12</f>
        <v>0</v>
      </c>
      <c r="E145" s="69">
        <f>'6.Cons Profit &amp; Loss'!D12</f>
        <v>0</v>
      </c>
      <c r="F145" s="69">
        <f>'6.Cons Profit &amp; Loss'!E12</f>
        <v>0</v>
      </c>
      <c r="G145" s="69">
        <f>'6.Cons Profit &amp; Loss'!F12</f>
        <v>0</v>
      </c>
      <c r="H145" s="69">
        <f>'6.Cons Profit &amp; Loss'!G12</f>
        <v>0</v>
      </c>
      <c r="I145" s="69">
        <f>'6.Cons Profit &amp; Loss'!H12</f>
        <v>0</v>
      </c>
    </row>
    <row r="146" spans="2:15">
      <c r="B146" s="67" t="str">
        <f t="shared" si="16"/>
        <v>Facility 6 - Processing Unit - Horti Commodity</v>
      </c>
      <c r="C146" s="69">
        <f>'6.Cons Profit &amp; Loss'!B13</f>
        <v>0</v>
      </c>
      <c r="D146" s="69">
        <f>'6.Cons Profit &amp; Loss'!C13</f>
        <v>0</v>
      </c>
      <c r="E146" s="69">
        <f>'6.Cons Profit &amp; Loss'!D13</f>
        <v>0</v>
      </c>
      <c r="F146" s="69">
        <f>'6.Cons Profit &amp; Loss'!E13</f>
        <v>0</v>
      </c>
      <c r="G146" s="69">
        <f>'6.Cons Profit &amp; Loss'!F13</f>
        <v>0</v>
      </c>
      <c r="H146" s="69">
        <f>'6.Cons Profit &amp; Loss'!G13</f>
        <v>0</v>
      </c>
      <c r="I146" s="69">
        <f>'6.Cons Profit &amp; Loss'!H13</f>
        <v>0</v>
      </c>
    </row>
    <row r="147" spans="2:15">
      <c r="B147" s="67">
        <f t="shared" si="16"/>
        <v>0</v>
      </c>
      <c r="C147" s="69">
        <f>'6.Cons Profit &amp; Loss'!B14</f>
        <v>0</v>
      </c>
      <c r="D147" s="69">
        <f>'6.Cons Profit &amp; Loss'!C14</f>
        <v>0</v>
      </c>
      <c r="E147" s="69">
        <f>'6.Cons Profit &amp; Loss'!D14</f>
        <v>0</v>
      </c>
      <c r="F147" s="69">
        <f>'6.Cons Profit &amp; Loss'!E14</f>
        <v>0</v>
      </c>
      <c r="G147" s="69">
        <f>'6.Cons Profit &amp; Loss'!F14</f>
        <v>0</v>
      </c>
      <c r="H147" s="69">
        <f>'6.Cons Profit &amp; Loss'!G14</f>
        <v>0</v>
      </c>
      <c r="I147" s="69">
        <f>'6.Cons Profit &amp; Loss'!H14</f>
        <v>0</v>
      </c>
    </row>
    <row r="148" spans="2:15">
      <c r="B148" s="67" t="s">
        <v>360</v>
      </c>
      <c r="C148" s="69">
        <f>SUM(C141:C147)</f>
        <v>72408947.519999996</v>
      </c>
      <c r="D148" s="69">
        <f t="shared" ref="D148:I148" si="17">SUM(D141:D147)</f>
        <v>81954142.905599996</v>
      </c>
      <c r="E148" s="69">
        <f t="shared" si="17"/>
        <v>88445306.285280004</v>
      </c>
      <c r="F148" s="69">
        <f t="shared" si="17"/>
        <v>95380700.645664006</v>
      </c>
      <c r="G148" s="69">
        <f t="shared" si="17"/>
        <v>102788521.17637321</v>
      </c>
      <c r="H148" s="69">
        <f t="shared" si="17"/>
        <v>110698672.00853918</v>
      </c>
      <c r="I148" s="69">
        <f t="shared" si="17"/>
        <v>119142866.62098081</v>
      </c>
    </row>
    <row r="149" spans="2:15">
      <c r="B149" s="67" t="s">
        <v>361</v>
      </c>
      <c r="C149" s="74"/>
      <c r="D149" s="69"/>
      <c r="E149" s="69"/>
      <c r="F149" s="69"/>
      <c r="G149" s="69"/>
      <c r="H149" s="69"/>
      <c r="I149" s="69"/>
    </row>
    <row r="150" spans="2:15">
      <c r="B150" s="67" t="s">
        <v>362</v>
      </c>
      <c r="C150" s="68">
        <f>'6.Cons Profit &amp; Loss'!B36</f>
        <v>4660052</v>
      </c>
      <c r="D150" s="68">
        <f>'6.Cons Profit &amp; Loss'!C36</f>
        <v>4893054.5999999996</v>
      </c>
      <c r="E150" s="68">
        <f>'6.Cons Profit &amp; Loss'!D36</f>
        <v>5137707.33</v>
      </c>
      <c r="F150" s="68">
        <f>'6.Cons Profit &amp; Loss'!E36</f>
        <v>5394592.6965000015</v>
      </c>
      <c r="G150" s="68">
        <f>'6.Cons Profit &amp; Loss'!F36</f>
        <v>5664322.3313250011</v>
      </c>
      <c r="H150" s="68">
        <f>'6.Cons Profit &amp; Loss'!G36</f>
        <v>5947538.4478912521</v>
      </c>
      <c r="I150" s="68">
        <f>'6.Cons Profit &amp; Loss'!H36</f>
        <v>6244915.3702858146</v>
      </c>
    </row>
    <row r="151" spans="2:15">
      <c r="B151" s="67" t="s">
        <v>316</v>
      </c>
      <c r="C151" s="68">
        <f>'6.Cons Profit &amp; Loss'!B25*(1+$M$128)</f>
        <v>58890819.901833802</v>
      </c>
      <c r="D151" s="68">
        <f>'6.Cons Profit &amp; Loss'!C25*(1+$M$128)</f>
        <v>69977850.351517618</v>
      </c>
      <c r="E151" s="68">
        <f>'6.Cons Profit &amp; Loss'!D25*(1+$M$128)</f>
        <v>75523076.641727373</v>
      </c>
      <c r="F151" s="68">
        <f>'6.Cons Profit &amp; Loss'!E25*(1+$M$128)</f>
        <v>81447880.935079336</v>
      </c>
      <c r="G151" s="68">
        <f>'6.Cons Profit &amp; Loss'!F25*(1+$M$128)</f>
        <v>87776357.96616216</v>
      </c>
      <c r="H151" s="68">
        <f>'6.Cons Profit &amp; Loss'!G25*(1+$M$128)</f>
        <v>94534062.998015553</v>
      </c>
      <c r="I151" s="68">
        <f>'6.Cons Profit &amp; Loss'!H25*(1+$M$128)</f>
        <v>101748097.63813891</v>
      </c>
    </row>
    <row r="152" spans="2:15">
      <c r="B152" s="67" t="s">
        <v>363</v>
      </c>
      <c r="C152" s="68">
        <f t="shared" ref="C152:I152" si="18">SUM(C150:C151)</f>
        <v>63550871.901833802</v>
      </c>
      <c r="D152" s="68">
        <f t="shared" si="18"/>
        <v>74870904.951517612</v>
      </c>
      <c r="E152" s="68">
        <f t="shared" si="18"/>
        <v>80660783.971727371</v>
      </c>
      <c r="F152" s="68">
        <f t="shared" si="18"/>
        <v>86842473.63157934</v>
      </c>
      <c r="G152" s="68">
        <f t="shared" si="18"/>
        <v>93440680.297487155</v>
      </c>
      <c r="H152" s="68">
        <f t="shared" si="18"/>
        <v>100481601.4459068</v>
      </c>
      <c r="I152" s="68">
        <f t="shared" si="18"/>
        <v>107993013.00842471</v>
      </c>
    </row>
    <row r="153" spans="2:15">
      <c r="B153" s="70" t="s">
        <v>364</v>
      </c>
      <c r="C153" s="71">
        <f t="shared" ref="C153:I153" si="19">+C148-C152</f>
        <v>8858075.6181661934</v>
      </c>
      <c r="D153" s="71">
        <f t="shared" si="19"/>
        <v>7083237.9540823847</v>
      </c>
      <c r="E153" s="71">
        <f t="shared" si="19"/>
        <v>7784522.3135526329</v>
      </c>
      <c r="F153" s="71">
        <f t="shared" si="19"/>
        <v>8538227.014084667</v>
      </c>
      <c r="G153" s="71">
        <f t="shared" si="19"/>
        <v>9347840.8788860589</v>
      </c>
      <c r="H153" s="71">
        <f t="shared" si="19"/>
        <v>10217070.562632382</v>
      </c>
      <c r="I153" s="71">
        <f t="shared" si="19"/>
        <v>11149853.6125561</v>
      </c>
      <c r="N153" s="4"/>
      <c r="O153" s="6"/>
    </row>
    <row r="154" spans="2:15">
      <c r="B154" s="72"/>
      <c r="C154" s="73"/>
      <c r="D154" s="73"/>
      <c r="E154" s="73"/>
      <c r="F154" s="73"/>
      <c r="G154" s="73"/>
      <c r="H154" s="73"/>
      <c r="I154" s="73"/>
    </row>
    <row r="155" spans="2:15">
      <c r="B155" s="75" t="s">
        <v>366</v>
      </c>
      <c r="C155" s="76" t="s">
        <v>2</v>
      </c>
      <c r="D155" s="76" t="s">
        <v>3</v>
      </c>
      <c r="E155" s="76" t="s">
        <v>4</v>
      </c>
      <c r="F155" s="76" t="s">
        <v>5</v>
      </c>
      <c r="G155" s="76" t="s">
        <v>6</v>
      </c>
      <c r="H155" s="76" t="s">
        <v>171</v>
      </c>
      <c r="I155" s="76" t="s">
        <v>170</v>
      </c>
    </row>
    <row r="156" spans="2:15">
      <c r="B156" s="67" t="str">
        <f t="shared" ref="B156:B162" si="20">B141</f>
        <v>Faclitiy 1 - Cleaning &amp; Grading</v>
      </c>
      <c r="C156" s="305">
        <f>'6.Cons Profit &amp; Loss'!B8*(1-$M$127)</f>
        <v>0</v>
      </c>
      <c r="D156" s="305">
        <f>'6.Cons Profit &amp; Loss'!C8*(1-$M$127)</f>
        <v>0</v>
      </c>
      <c r="E156" s="305">
        <f>'6.Cons Profit &amp; Loss'!D8*(1-$M$127)</f>
        <v>0</v>
      </c>
      <c r="F156" s="305">
        <f>'6.Cons Profit &amp; Loss'!E8*(1-$M$127)</f>
        <v>0</v>
      </c>
      <c r="G156" s="305">
        <f>'6.Cons Profit &amp; Loss'!F8*(1-$M$127)</f>
        <v>0</v>
      </c>
      <c r="H156" s="305">
        <f>'6.Cons Profit &amp; Loss'!G8*(1-$M$127)</f>
        <v>0</v>
      </c>
      <c r="I156" s="305">
        <f>'6.Cons Profit &amp; Loss'!H8*(1-$M$127)</f>
        <v>0</v>
      </c>
    </row>
    <row r="157" spans="2:15">
      <c r="B157" s="67" t="str">
        <f t="shared" si="20"/>
        <v>Faclitiy 2 - Processing Unit- Dal Mill</v>
      </c>
      <c r="C157" s="305">
        <f>'6.Cons Profit &amp; Loss'!B9*(1-$M$127)</f>
        <v>68788500.143999994</v>
      </c>
      <c r="D157" s="305">
        <f>'6.Cons Profit &amp; Loss'!C9*(1-$M$127)</f>
        <v>77856435.760319993</v>
      </c>
      <c r="E157" s="305">
        <f>'6.Cons Profit &amp; Loss'!D9*(1-$M$127)</f>
        <v>84023040.971016005</v>
      </c>
      <c r="F157" s="305">
        <f>'6.Cons Profit &amp; Loss'!E9*(1-$M$127)</f>
        <v>90611665.613380805</v>
      </c>
      <c r="G157" s="305">
        <f>'6.Cons Profit &amp; Loss'!F9*(1-$M$127)</f>
        <v>97649095.117554545</v>
      </c>
      <c r="H157" s="305">
        <f>'6.Cons Profit &amp; Loss'!G9*(1-$M$127)</f>
        <v>105163738.40811223</v>
      </c>
      <c r="I157" s="305">
        <f>'6.Cons Profit &amp; Loss'!H9*(1-$M$127)</f>
        <v>113185723.28993177</v>
      </c>
    </row>
    <row r="158" spans="2:15">
      <c r="B158" s="67" t="str">
        <f t="shared" si="20"/>
        <v>Faclitiy 3 - Warehouse</v>
      </c>
      <c r="C158" s="305">
        <f>'6.Cons Profit &amp; Loss'!B10*(1-$M$127)</f>
        <v>0</v>
      </c>
      <c r="D158" s="305">
        <f>'6.Cons Profit &amp; Loss'!C10*(1-$M$127)</f>
        <v>0</v>
      </c>
      <c r="E158" s="305">
        <f>'6.Cons Profit &amp; Loss'!D10*(1-$M$127)</f>
        <v>0</v>
      </c>
      <c r="F158" s="305">
        <f>'6.Cons Profit &amp; Loss'!E10*(1-$M$127)</f>
        <v>0</v>
      </c>
      <c r="G158" s="305">
        <f>'6.Cons Profit &amp; Loss'!F10*(1-$M$127)</f>
        <v>0</v>
      </c>
      <c r="H158" s="305">
        <f>'6.Cons Profit &amp; Loss'!G10*(1-$M$127)</f>
        <v>0</v>
      </c>
      <c r="I158" s="305">
        <f>'6.Cons Profit &amp; Loss'!H10*(1-$M$127)</f>
        <v>0</v>
      </c>
    </row>
    <row r="159" spans="2:15">
      <c r="B159" s="67" t="str">
        <f t="shared" si="20"/>
        <v xml:space="preserve">Faclitiy 4 - Custom Hiring </v>
      </c>
      <c r="C159" s="305">
        <f>'6.Cons Profit &amp; Loss'!B11*(1-$M$127)</f>
        <v>0</v>
      </c>
      <c r="D159" s="305">
        <f>'6.Cons Profit &amp; Loss'!C11*(1-$M$127)</f>
        <v>0</v>
      </c>
      <c r="E159" s="305">
        <f>'6.Cons Profit &amp; Loss'!D11*(1-$M$127)</f>
        <v>0</v>
      </c>
      <c r="F159" s="305">
        <f>'6.Cons Profit &amp; Loss'!E11*(1-$M$127)</f>
        <v>0</v>
      </c>
      <c r="G159" s="305">
        <f>'6.Cons Profit &amp; Loss'!F11*(1-$M$127)</f>
        <v>0</v>
      </c>
      <c r="H159" s="305">
        <f>'6.Cons Profit &amp; Loss'!G11*(1-$M$127)</f>
        <v>0</v>
      </c>
      <c r="I159" s="305">
        <f>'6.Cons Profit &amp; Loss'!H11*(1-$M$127)</f>
        <v>0</v>
      </c>
    </row>
    <row r="160" spans="2:15">
      <c r="B160" s="67" t="str">
        <f t="shared" si="20"/>
        <v>Faclitiy 5 - Agri Input Centre</v>
      </c>
      <c r="C160" s="305">
        <f>'6.Cons Profit &amp; Loss'!B12*(1-$M$127)</f>
        <v>0</v>
      </c>
      <c r="D160" s="305">
        <f>'6.Cons Profit &amp; Loss'!C12*(1-$M$127)</f>
        <v>0</v>
      </c>
      <c r="E160" s="305">
        <f>'6.Cons Profit &amp; Loss'!D12*(1-$M$127)</f>
        <v>0</v>
      </c>
      <c r="F160" s="305">
        <f>'6.Cons Profit &amp; Loss'!E12*(1-$M$127)</f>
        <v>0</v>
      </c>
      <c r="G160" s="305">
        <f>'6.Cons Profit &amp; Loss'!F12*(1-$M$127)</f>
        <v>0</v>
      </c>
      <c r="H160" s="305">
        <f>'6.Cons Profit &amp; Loss'!G12*(1-$M$127)</f>
        <v>0</v>
      </c>
      <c r="I160" s="305">
        <f>'6.Cons Profit &amp; Loss'!H12*(1-$M$127)</f>
        <v>0</v>
      </c>
    </row>
    <row r="161" spans="2:9">
      <c r="B161" s="67" t="str">
        <f t="shared" si="20"/>
        <v>Facility 6 - Processing Unit - Horti Commodity</v>
      </c>
      <c r="C161" s="305">
        <f>'6.Cons Profit &amp; Loss'!B13*(1-$M$127)</f>
        <v>0</v>
      </c>
      <c r="D161" s="305">
        <f>'6.Cons Profit &amp; Loss'!C13*(1-$M$127)</f>
        <v>0</v>
      </c>
      <c r="E161" s="305">
        <f>'6.Cons Profit &amp; Loss'!D13*(1-$M$127)</f>
        <v>0</v>
      </c>
      <c r="F161" s="305">
        <f>'6.Cons Profit &amp; Loss'!E13*(1-$M$127)</f>
        <v>0</v>
      </c>
      <c r="G161" s="305">
        <f>'6.Cons Profit &amp; Loss'!F13*(1-$M$127)</f>
        <v>0</v>
      </c>
      <c r="H161" s="305">
        <f>'6.Cons Profit &amp; Loss'!G13*(1-$M$127)</f>
        <v>0</v>
      </c>
      <c r="I161" s="305">
        <f>'6.Cons Profit &amp; Loss'!H13*(1-$M$127)</f>
        <v>0</v>
      </c>
    </row>
    <row r="162" spans="2:9">
      <c r="B162" s="67">
        <f t="shared" si="20"/>
        <v>0</v>
      </c>
      <c r="C162" s="305">
        <f>'6.Cons Profit &amp; Loss'!B14*(1-$M$127)</f>
        <v>0</v>
      </c>
      <c r="D162" s="305">
        <f>'6.Cons Profit &amp; Loss'!C14*(1-$M$127)</f>
        <v>0</v>
      </c>
      <c r="E162" s="305">
        <f>'6.Cons Profit &amp; Loss'!D14*(1-$M$127)</f>
        <v>0</v>
      </c>
      <c r="F162" s="305">
        <f>'6.Cons Profit &amp; Loss'!E14*(1-$M$127)</f>
        <v>0</v>
      </c>
      <c r="G162" s="305">
        <f>'6.Cons Profit &amp; Loss'!F14*(1-$M$127)</f>
        <v>0</v>
      </c>
      <c r="H162" s="305">
        <f>'6.Cons Profit &amp; Loss'!G14*(1-$M$127)</f>
        <v>0</v>
      </c>
      <c r="I162" s="305">
        <f>'6.Cons Profit &amp; Loss'!H14*(1-$M$127)</f>
        <v>0</v>
      </c>
    </row>
    <row r="163" spans="2:9">
      <c r="B163" s="67" t="s">
        <v>360</v>
      </c>
      <c r="C163" s="305">
        <f>SUM(C156:C162)</f>
        <v>68788500.143999994</v>
      </c>
      <c r="D163" s="305">
        <f t="shared" ref="D163:I163" si="21">SUM(D156:D162)</f>
        <v>77856435.760319993</v>
      </c>
      <c r="E163" s="305">
        <f t="shared" si="21"/>
        <v>84023040.971016005</v>
      </c>
      <c r="F163" s="305">
        <f t="shared" si="21"/>
        <v>90611665.613380805</v>
      </c>
      <c r="G163" s="305">
        <f t="shared" si="21"/>
        <v>97649095.117554545</v>
      </c>
      <c r="H163" s="305">
        <f t="shared" si="21"/>
        <v>105163738.40811223</v>
      </c>
      <c r="I163" s="305">
        <f t="shared" si="21"/>
        <v>113185723.28993177</v>
      </c>
    </row>
    <row r="164" spans="2:9">
      <c r="B164" s="67" t="s">
        <v>361</v>
      </c>
      <c r="C164" s="305"/>
      <c r="D164" s="305"/>
      <c r="E164" s="305"/>
      <c r="F164" s="305"/>
      <c r="G164" s="305"/>
      <c r="H164" s="305"/>
      <c r="I164" s="305"/>
    </row>
    <row r="165" spans="2:9">
      <c r="B165" s="67" t="s">
        <v>362</v>
      </c>
      <c r="C165" s="305">
        <f>'6.Cons Profit &amp; Loss'!B36</f>
        <v>4660052</v>
      </c>
      <c r="D165" s="305">
        <f>'6.Cons Profit &amp; Loss'!C36</f>
        <v>4893054.5999999996</v>
      </c>
      <c r="E165" s="305">
        <f>'6.Cons Profit &amp; Loss'!D36</f>
        <v>5137707.33</v>
      </c>
      <c r="F165" s="305">
        <f>'6.Cons Profit &amp; Loss'!E36</f>
        <v>5394592.6965000015</v>
      </c>
      <c r="G165" s="305">
        <f>'6.Cons Profit &amp; Loss'!F36</f>
        <v>5664322.3313250011</v>
      </c>
      <c r="H165" s="305">
        <f>'6.Cons Profit &amp; Loss'!G36</f>
        <v>5947538.4478912521</v>
      </c>
      <c r="I165" s="305">
        <f>'6.Cons Profit &amp; Loss'!H36</f>
        <v>6244915.3702858146</v>
      </c>
    </row>
    <row r="166" spans="2:9">
      <c r="B166" s="67" t="s">
        <v>316</v>
      </c>
      <c r="C166" s="305">
        <f>'6.Cons Profit &amp; Loss'!B25*(1-$M$127)</f>
        <v>53282170.387373433</v>
      </c>
      <c r="D166" s="305">
        <f>'6.Cons Profit &amp; Loss'!C25*(1-$M$127)</f>
        <v>63313293.175182603</v>
      </c>
      <c r="E166" s="305">
        <f>'6.Cons Profit &amp; Loss'!D25*(1-$M$127)</f>
        <v>68330402.675848559</v>
      </c>
      <c r="F166" s="305">
        <f>'6.Cons Profit &amp; Loss'!E25*(1-$M$127)</f>
        <v>73690939.8936432</v>
      </c>
      <c r="G166" s="305">
        <f>'6.Cons Profit &amp; Loss'!F25*(1-$M$127)</f>
        <v>79416704.82652767</v>
      </c>
      <c r="H166" s="305">
        <f>'6.Cons Profit &amp; Loss'!G25*(1-$M$127)</f>
        <v>85530818.90296644</v>
      </c>
      <c r="I166" s="305">
        <f>'6.Cons Profit &amp; Loss'!H25*(1-$M$127)</f>
        <v>92057802.624982819</v>
      </c>
    </row>
    <row r="167" spans="2:9">
      <c r="B167" s="67" t="s">
        <v>363</v>
      </c>
      <c r="C167" s="305">
        <f t="shared" ref="C167:I167" si="22">SUM(C165:C166)</f>
        <v>57942222.387373433</v>
      </c>
      <c r="D167" s="305">
        <f t="shared" si="22"/>
        <v>68206347.775182605</v>
      </c>
      <c r="E167" s="305">
        <f t="shared" si="22"/>
        <v>73468110.005848557</v>
      </c>
      <c r="F167" s="305">
        <f t="shared" si="22"/>
        <v>79085532.590143204</v>
      </c>
      <c r="G167" s="305">
        <f t="shared" si="22"/>
        <v>85081027.157852665</v>
      </c>
      <c r="H167" s="305">
        <f t="shared" si="22"/>
        <v>91478357.35085769</v>
      </c>
      <c r="I167" s="305">
        <f t="shared" si="22"/>
        <v>98302717.995268628</v>
      </c>
    </row>
    <row r="168" spans="2:9">
      <c r="B168" s="70" t="s">
        <v>364</v>
      </c>
      <c r="C168" s="307">
        <f t="shared" ref="C168:I168" si="23">+C163-C167</f>
        <v>10846277.756626561</v>
      </c>
      <c r="D168" s="307">
        <f t="shared" si="23"/>
        <v>9650087.9851373881</v>
      </c>
      <c r="E168" s="307">
        <f t="shared" si="23"/>
        <v>10554930.965167448</v>
      </c>
      <c r="F168" s="307">
        <f t="shared" si="23"/>
        <v>11526133.023237601</v>
      </c>
      <c r="G168" s="307">
        <f t="shared" si="23"/>
        <v>12568067.959701881</v>
      </c>
      <c r="H168" s="307">
        <f t="shared" si="23"/>
        <v>13685381.057254538</v>
      </c>
      <c r="I168" s="307">
        <f t="shared" si="23"/>
        <v>14883005.294663146</v>
      </c>
    </row>
    <row r="169" spans="2:9">
      <c r="B169" s="13"/>
      <c r="C169" s="73"/>
      <c r="D169" s="73"/>
      <c r="E169" s="73"/>
      <c r="F169" s="73"/>
      <c r="G169" s="73"/>
      <c r="H169" s="73"/>
      <c r="I169" s="73"/>
    </row>
    <row r="170" spans="2:9">
      <c r="B170" s="75" t="s">
        <v>367</v>
      </c>
      <c r="C170" s="76" t="s">
        <v>2</v>
      </c>
      <c r="D170" s="76" t="s">
        <v>3</v>
      </c>
      <c r="E170" s="76" t="s">
        <v>4</v>
      </c>
      <c r="F170" s="76" t="s">
        <v>5</v>
      </c>
      <c r="G170" s="76" t="s">
        <v>6</v>
      </c>
      <c r="H170" s="76" t="s">
        <v>171</v>
      </c>
      <c r="I170" s="76" t="s">
        <v>170</v>
      </c>
    </row>
    <row r="171" spans="2:9">
      <c r="B171" s="67" t="str">
        <f t="shared" ref="B171:B177" si="24">B156</f>
        <v>Faclitiy 1 - Cleaning &amp; Grading</v>
      </c>
      <c r="C171" s="69">
        <f>'6.Cons Profit &amp; Loss'!B8</f>
        <v>0</v>
      </c>
      <c r="D171" s="69">
        <f>'6.Cons Profit &amp; Loss'!C8</f>
        <v>0</v>
      </c>
      <c r="E171" s="69">
        <f>'6.Cons Profit &amp; Loss'!D8</f>
        <v>0</v>
      </c>
      <c r="F171" s="69">
        <f>'6.Cons Profit &amp; Loss'!E8</f>
        <v>0</v>
      </c>
      <c r="G171" s="69">
        <f>'6.Cons Profit &amp; Loss'!F8</f>
        <v>0</v>
      </c>
      <c r="H171" s="69">
        <f>'6.Cons Profit &amp; Loss'!G8</f>
        <v>0</v>
      </c>
      <c r="I171" s="69">
        <f>'6.Cons Profit &amp; Loss'!H8</f>
        <v>0</v>
      </c>
    </row>
    <row r="172" spans="2:9">
      <c r="B172" s="67" t="str">
        <f t="shared" si="24"/>
        <v>Faclitiy 2 - Processing Unit- Dal Mill</v>
      </c>
      <c r="C172" s="69">
        <f>'6.Cons Profit &amp; Loss'!B9</f>
        <v>72408947.519999996</v>
      </c>
      <c r="D172" s="69">
        <f>'6.Cons Profit &amp; Loss'!C9</f>
        <v>81954142.905599996</v>
      </c>
      <c r="E172" s="69">
        <f>'6.Cons Profit &amp; Loss'!D9</f>
        <v>88445306.285280004</v>
      </c>
      <c r="F172" s="69">
        <f>'6.Cons Profit &amp; Loss'!E9</f>
        <v>95380700.645664006</v>
      </c>
      <c r="G172" s="69">
        <f>'6.Cons Profit &amp; Loss'!F9</f>
        <v>102788521.17637321</v>
      </c>
      <c r="H172" s="69">
        <f>'6.Cons Profit &amp; Loss'!G9</f>
        <v>110698672.00853918</v>
      </c>
      <c r="I172" s="69">
        <f>'6.Cons Profit &amp; Loss'!H9</f>
        <v>119142866.62098081</v>
      </c>
    </row>
    <row r="173" spans="2:9">
      <c r="B173" s="67" t="str">
        <f t="shared" si="24"/>
        <v>Faclitiy 3 - Warehouse</v>
      </c>
      <c r="C173" s="69">
        <f>'6.Cons Profit &amp; Loss'!B10</f>
        <v>0</v>
      </c>
      <c r="D173" s="69">
        <f>'6.Cons Profit &amp; Loss'!C10</f>
        <v>0</v>
      </c>
      <c r="E173" s="69">
        <f>'6.Cons Profit &amp; Loss'!D10</f>
        <v>0</v>
      </c>
      <c r="F173" s="69">
        <f>'6.Cons Profit &amp; Loss'!E10</f>
        <v>0</v>
      </c>
      <c r="G173" s="69">
        <f>'6.Cons Profit &amp; Loss'!F10</f>
        <v>0</v>
      </c>
      <c r="H173" s="69">
        <f>'6.Cons Profit &amp; Loss'!G10</f>
        <v>0</v>
      </c>
      <c r="I173" s="69">
        <f>'6.Cons Profit &amp; Loss'!H10</f>
        <v>0</v>
      </c>
    </row>
    <row r="174" spans="2:9">
      <c r="B174" s="67" t="str">
        <f t="shared" si="24"/>
        <v xml:space="preserve">Faclitiy 4 - Custom Hiring </v>
      </c>
      <c r="C174" s="69">
        <f>'6.Cons Profit &amp; Loss'!B11</f>
        <v>0</v>
      </c>
      <c r="D174" s="69">
        <f>'6.Cons Profit &amp; Loss'!C11</f>
        <v>0</v>
      </c>
      <c r="E174" s="69">
        <f>'6.Cons Profit &amp; Loss'!D11</f>
        <v>0</v>
      </c>
      <c r="F174" s="69">
        <f>'6.Cons Profit &amp; Loss'!E11</f>
        <v>0</v>
      </c>
      <c r="G174" s="69">
        <f>'6.Cons Profit &amp; Loss'!F11</f>
        <v>0</v>
      </c>
      <c r="H174" s="69">
        <f>'6.Cons Profit &amp; Loss'!G11</f>
        <v>0</v>
      </c>
      <c r="I174" s="69">
        <f>'6.Cons Profit &amp; Loss'!H11</f>
        <v>0</v>
      </c>
    </row>
    <row r="175" spans="2:9">
      <c r="B175" s="67" t="str">
        <f t="shared" si="24"/>
        <v>Faclitiy 5 - Agri Input Centre</v>
      </c>
      <c r="C175" s="69">
        <f>'6.Cons Profit &amp; Loss'!B12</f>
        <v>0</v>
      </c>
      <c r="D175" s="69">
        <f>'6.Cons Profit &amp; Loss'!C12</f>
        <v>0</v>
      </c>
      <c r="E175" s="69">
        <f>'6.Cons Profit &amp; Loss'!D12</f>
        <v>0</v>
      </c>
      <c r="F175" s="69">
        <f>'6.Cons Profit &amp; Loss'!E12</f>
        <v>0</v>
      </c>
      <c r="G175" s="69">
        <f>'6.Cons Profit &amp; Loss'!F12</f>
        <v>0</v>
      </c>
      <c r="H175" s="69">
        <f>'6.Cons Profit &amp; Loss'!G12</f>
        <v>0</v>
      </c>
      <c r="I175" s="69">
        <f>'6.Cons Profit &amp; Loss'!H12</f>
        <v>0</v>
      </c>
    </row>
    <row r="176" spans="2:9">
      <c r="B176" s="67" t="str">
        <f t="shared" si="24"/>
        <v>Facility 6 - Processing Unit - Horti Commodity</v>
      </c>
      <c r="C176" s="69">
        <f>'6.Cons Profit &amp; Loss'!B13</f>
        <v>0</v>
      </c>
      <c r="D176" s="69">
        <f>'6.Cons Profit &amp; Loss'!C13</f>
        <v>0</v>
      </c>
      <c r="E176" s="69">
        <f>'6.Cons Profit &amp; Loss'!D13</f>
        <v>0</v>
      </c>
      <c r="F176" s="69">
        <f>'6.Cons Profit &amp; Loss'!E13</f>
        <v>0</v>
      </c>
      <c r="G176" s="69">
        <f>'6.Cons Profit &amp; Loss'!F13</f>
        <v>0</v>
      </c>
      <c r="H176" s="69">
        <f>'6.Cons Profit &amp; Loss'!G13</f>
        <v>0</v>
      </c>
      <c r="I176" s="69">
        <f>'6.Cons Profit &amp; Loss'!H13</f>
        <v>0</v>
      </c>
    </row>
    <row r="177" spans="2:13">
      <c r="B177" s="67">
        <f t="shared" si="24"/>
        <v>0</v>
      </c>
      <c r="C177" s="69">
        <f>'6.Cons Profit &amp; Loss'!B14</f>
        <v>0</v>
      </c>
      <c r="D177" s="69">
        <f>'6.Cons Profit &amp; Loss'!C14</f>
        <v>0</v>
      </c>
      <c r="E177" s="69">
        <f>'6.Cons Profit &amp; Loss'!D14</f>
        <v>0</v>
      </c>
      <c r="F177" s="69">
        <f>'6.Cons Profit &amp; Loss'!E14</f>
        <v>0</v>
      </c>
      <c r="G177" s="69">
        <f>'6.Cons Profit &amp; Loss'!F14</f>
        <v>0</v>
      </c>
      <c r="H177" s="69">
        <f>'6.Cons Profit &amp; Loss'!G14</f>
        <v>0</v>
      </c>
      <c r="I177" s="69">
        <f>'6.Cons Profit &amp; Loss'!H14</f>
        <v>0</v>
      </c>
    </row>
    <row r="178" spans="2:13">
      <c r="B178" s="67" t="s">
        <v>360</v>
      </c>
      <c r="C178" s="69">
        <f>SUM(C171:C177)</f>
        <v>72408947.519999996</v>
      </c>
      <c r="D178" s="69">
        <f t="shared" ref="D178:I178" si="25">SUM(D171:D177)</f>
        <v>81954142.905599996</v>
      </c>
      <c r="E178" s="69">
        <f t="shared" si="25"/>
        <v>88445306.285280004</v>
      </c>
      <c r="F178" s="69">
        <f t="shared" si="25"/>
        <v>95380700.645664006</v>
      </c>
      <c r="G178" s="69">
        <f t="shared" si="25"/>
        <v>102788521.17637321</v>
      </c>
      <c r="H178" s="69">
        <f t="shared" si="25"/>
        <v>110698672.00853918</v>
      </c>
      <c r="I178" s="69">
        <f t="shared" si="25"/>
        <v>119142866.62098081</v>
      </c>
    </row>
    <row r="179" spans="2:13">
      <c r="B179" s="67" t="s">
        <v>361</v>
      </c>
      <c r="C179" s="69"/>
      <c r="D179" s="69"/>
      <c r="E179" s="69"/>
      <c r="F179" s="69"/>
      <c r="G179" s="69"/>
      <c r="H179" s="69"/>
      <c r="I179" s="69"/>
    </row>
    <row r="180" spans="2:13">
      <c r="B180" s="67" t="s">
        <v>362</v>
      </c>
      <c r="C180" s="69">
        <f>'6.Cons Profit &amp; Loss'!B36</f>
        <v>4660052</v>
      </c>
      <c r="D180" s="69">
        <f>'6.Cons Profit &amp; Loss'!C36</f>
        <v>4893054.5999999996</v>
      </c>
      <c r="E180" s="69">
        <f>'6.Cons Profit &amp; Loss'!D36</f>
        <v>5137707.33</v>
      </c>
      <c r="F180" s="69">
        <f>'6.Cons Profit &amp; Loss'!E36</f>
        <v>5394592.6965000015</v>
      </c>
      <c r="G180" s="69">
        <f>'6.Cons Profit &amp; Loss'!F36</f>
        <v>5664322.3313250011</v>
      </c>
      <c r="H180" s="69">
        <f>'6.Cons Profit &amp; Loss'!G36</f>
        <v>5947538.4478912521</v>
      </c>
      <c r="I180" s="69">
        <f>'6.Cons Profit &amp; Loss'!H36</f>
        <v>6244915.3702858146</v>
      </c>
    </row>
    <row r="181" spans="2:13">
      <c r="B181" s="67" t="s">
        <v>316</v>
      </c>
      <c r="C181" s="69">
        <f>'6.Cons Profit &amp; Loss'!B25*(1-$M$128)</f>
        <v>53282170.387373433</v>
      </c>
      <c r="D181" s="69">
        <f>'6.Cons Profit &amp; Loss'!C25*(1-$M$128)</f>
        <v>63313293.175182603</v>
      </c>
      <c r="E181" s="69">
        <f>'6.Cons Profit &amp; Loss'!D25*(1-$M$128)</f>
        <v>68330402.675848559</v>
      </c>
      <c r="F181" s="69">
        <f>'6.Cons Profit &amp; Loss'!E25*(1-$M$128)</f>
        <v>73690939.8936432</v>
      </c>
      <c r="G181" s="69">
        <f>'6.Cons Profit &amp; Loss'!F25*(1-$M$128)</f>
        <v>79416704.82652767</v>
      </c>
      <c r="H181" s="69">
        <f>'6.Cons Profit &amp; Loss'!G25*(1-$M$128)</f>
        <v>85530818.90296644</v>
      </c>
      <c r="I181" s="69">
        <f>'6.Cons Profit &amp; Loss'!H25*(1-$M$128)</f>
        <v>92057802.624982819</v>
      </c>
    </row>
    <row r="182" spans="2:13">
      <c r="B182" s="67" t="s">
        <v>363</v>
      </c>
      <c r="C182" s="69">
        <f t="shared" ref="C182:I182" si="26">SUM(C180:C181)</f>
        <v>57942222.387373433</v>
      </c>
      <c r="D182" s="69">
        <f t="shared" si="26"/>
        <v>68206347.775182605</v>
      </c>
      <c r="E182" s="69">
        <f t="shared" si="26"/>
        <v>73468110.005848557</v>
      </c>
      <c r="F182" s="69">
        <f t="shared" si="26"/>
        <v>79085532.590143204</v>
      </c>
      <c r="G182" s="69">
        <f t="shared" si="26"/>
        <v>85081027.157852665</v>
      </c>
      <c r="H182" s="69">
        <f t="shared" si="26"/>
        <v>91478357.35085769</v>
      </c>
      <c r="I182" s="69">
        <f t="shared" si="26"/>
        <v>98302717.995268628</v>
      </c>
    </row>
    <row r="183" spans="2:13">
      <c r="B183" s="70" t="s">
        <v>364</v>
      </c>
      <c r="C183" s="306">
        <f t="shared" ref="C183:I183" si="27">+C178-C182</f>
        <v>14466725.132626563</v>
      </c>
      <c r="D183" s="306">
        <f t="shared" si="27"/>
        <v>13747795.130417392</v>
      </c>
      <c r="E183" s="306">
        <f t="shared" si="27"/>
        <v>14977196.279431447</v>
      </c>
      <c r="F183" s="306">
        <f t="shared" si="27"/>
        <v>16295168.055520803</v>
      </c>
      <c r="G183" s="306">
        <f t="shared" si="27"/>
        <v>17707494.018520549</v>
      </c>
      <c r="H183" s="306">
        <f t="shared" si="27"/>
        <v>19220314.657681495</v>
      </c>
      <c r="I183" s="306">
        <f t="shared" si="27"/>
        <v>20840148.625712186</v>
      </c>
    </row>
    <row r="185" spans="2:13" ht="41.15" customHeight="1">
      <c r="B185" s="457" t="s">
        <v>563</v>
      </c>
      <c r="C185" s="457"/>
      <c r="D185" s="457"/>
      <c r="E185" s="457"/>
      <c r="F185" s="457"/>
      <c r="G185" s="457"/>
      <c r="H185" s="457"/>
      <c r="I185" s="457"/>
      <c r="J185" s="313"/>
      <c r="K185" s="313"/>
      <c r="L185" s="313"/>
      <c r="M185" s="313"/>
    </row>
  </sheetData>
  <mergeCells count="20">
    <mergeCell ref="B185:I185"/>
    <mergeCell ref="B124:I124"/>
    <mergeCell ref="K124:R124"/>
    <mergeCell ref="D20:J20"/>
    <mergeCell ref="D22:J22"/>
    <mergeCell ref="B75:J75"/>
    <mergeCell ref="B88:I88"/>
    <mergeCell ref="B103:J103"/>
    <mergeCell ref="B122:J122"/>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6" orientation="portrait" r:id="rId2"/>
  <rowBreaks count="3" manualBreakCount="3">
    <brk id="74" min="1" max="9" man="1"/>
    <brk id="154" min="1" max="9" man="1"/>
    <brk id="184" min="1" max="9"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B13" zoomScale="130" zoomScaleNormal="100" zoomScaleSheetLayoutView="130" workbookViewId="0">
      <selection activeCell="F13" sqref="F13"/>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6" t="s">
        <v>623</v>
      </c>
      <c r="B1" s="416"/>
      <c r="C1" s="416"/>
      <c r="D1" s="416"/>
      <c r="E1" s="416"/>
      <c r="F1" s="416"/>
      <c r="G1" s="416"/>
      <c r="H1" s="416"/>
    </row>
    <row r="2" spans="1:26">
      <c r="B2" s="4"/>
    </row>
    <row r="3" spans="1:26" ht="17.5">
      <c r="A3" s="466" t="s">
        <v>592</v>
      </c>
      <c r="B3" s="466"/>
    </row>
    <row r="4" spans="1:26">
      <c r="A4" s="260" t="s">
        <v>0</v>
      </c>
      <c r="B4" s="278" t="s">
        <v>401</v>
      </c>
      <c r="C4" s="279"/>
      <c r="D4" s="279"/>
      <c r="E4" s="279"/>
      <c r="F4" s="279"/>
      <c r="G4" s="279"/>
      <c r="H4" s="279"/>
    </row>
    <row r="5" spans="1:26">
      <c r="A5" s="10" t="s">
        <v>516</v>
      </c>
      <c r="B5" s="256">
        <v>312</v>
      </c>
      <c r="C5" s="280"/>
      <c r="D5" s="281"/>
      <c r="E5" s="281"/>
      <c r="F5" s="281"/>
      <c r="G5" s="281"/>
      <c r="H5" s="281"/>
    </row>
    <row r="6" spans="1:26">
      <c r="A6" s="10" t="s">
        <v>517</v>
      </c>
      <c r="B6" s="256">
        <v>800</v>
      </c>
      <c r="C6" s="280"/>
      <c r="D6" s="281"/>
      <c r="E6" s="281"/>
      <c r="F6" s="281"/>
      <c r="G6" s="281"/>
      <c r="H6" s="281"/>
    </row>
    <row r="7" spans="1:26">
      <c r="A7" s="2" t="s">
        <v>1</v>
      </c>
      <c r="B7" s="303">
        <f>B5+B6</f>
        <v>1112</v>
      </c>
      <c r="C7" s="282"/>
      <c r="D7" s="283"/>
      <c r="E7" s="283"/>
      <c r="F7" s="283"/>
      <c r="G7" s="283"/>
      <c r="H7" s="283"/>
    </row>
    <row r="8" spans="1:26">
      <c r="A8" s="2" t="s">
        <v>518</v>
      </c>
      <c r="B8" s="302">
        <v>5</v>
      </c>
      <c r="C8" s="282"/>
      <c r="D8" s="282"/>
      <c r="E8" s="282"/>
      <c r="F8" s="282"/>
      <c r="G8" s="282"/>
      <c r="H8" s="282"/>
    </row>
    <row r="9" spans="1:26">
      <c r="A9" s="2" t="s">
        <v>523</v>
      </c>
      <c r="B9" s="303">
        <f>B7*B8</f>
        <v>5560</v>
      </c>
      <c r="C9" s="283"/>
      <c r="D9" s="283"/>
      <c r="E9" s="283"/>
      <c r="F9" s="283"/>
      <c r="G9" s="283"/>
      <c r="H9" s="283"/>
    </row>
    <row r="10" spans="1:26">
      <c r="J10" t="s">
        <v>471</v>
      </c>
      <c r="O10" t="s">
        <v>467</v>
      </c>
      <c r="U10" t="s">
        <v>468</v>
      </c>
      <c r="Y10" t="s">
        <v>469</v>
      </c>
      <c r="Z10" t="s">
        <v>470</v>
      </c>
    </row>
    <row r="11" spans="1:26" ht="17.5">
      <c r="A11" s="416" t="s">
        <v>593</v>
      </c>
      <c r="B11" s="416"/>
      <c r="C11" s="416"/>
      <c r="D11" s="416"/>
      <c r="E11" s="416"/>
      <c r="F11" s="416"/>
      <c r="G11" s="416"/>
      <c r="H11" s="416"/>
      <c r="I11" s="255"/>
      <c r="J11" s="255"/>
      <c r="K11" s="255"/>
      <c r="L11" s="255"/>
      <c r="M11" s="255"/>
      <c r="N11" s="255"/>
      <c r="O11" s="255"/>
      <c r="P11" s="255"/>
    </row>
    <row r="12" spans="1:26">
      <c r="J12" s="3">
        <v>0.65</v>
      </c>
      <c r="K12" s="274">
        <f>J12+0.05</f>
        <v>0.70000000000000007</v>
      </c>
      <c r="L12" s="274">
        <f>K12+0.05</f>
        <v>0.75000000000000011</v>
      </c>
      <c r="M12" s="274">
        <f>L12+0.05</f>
        <v>0.80000000000000016</v>
      </c>
      <c r="N12" s="274">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29">
      <c r="A13" s="260" t="s">
        <v>405</v>
      </c>
      <c r="B13" s="260" t="s">
        <v>406</v>
      </c>
      <c r="C13" s="261" t="s">
        <v>464</v>
      </c>
      <c r="D13" s="261" t="s">
        <v>472</v>
      </c>
      <c r="E13" s="261" t="s">
        <v>473</v>
      </c>
      <c r="F13" s="261" t="s">
        <v>407</v>
      </c>
      <c r="G13" s="261" t="s">
        <v>667</v>
      </c>
      <c r="H13" s="261" t="s">
        <v>408</v>
      </c>
      <c r="O13" s="273" t="s">
        <v>2</v>
      </c>
      <c r="P13" s="273" t="s">
        <v>3</v>
      </c>
      <c r="Q13" s="273" t="s">
        <v>4</v>
      </c>
      <c r="R13" s="273" t="s">
        <v>5</v>
      </c>
      <c r="S13" s="273" t="s">
        <v>6</v>
      </c>
      <c r="T13" s="273" t="s">
        <v>2</v>
      </c>
      <c r="U13" s="273" t="s">
        <v>3</v>
      </c>
      <c r="V13" s="273" t="s">
        <v>4</v>
      </c>
      <c r="W13" s="273" t="s">
        <v>5</v>
      </c>
      <c r="X13" s="273" t="s">
        <v>6</v>
      </c>
    </row>
    <row r="14" spans="1:26">
      <c r="A14" s="470" t="s">
        <v>409</v>
      </c>
      <c r="B14" s="256" t="s">
        <v>169</v>
      </c>
      <c r="C14" s="271">
        <v>0</v>
      </c>
      <c r="D14" s="10">
        <f t="shared" ref="D14:D22" si="0">$B$9*C14</f>
        <v>0</v>
      </c>
      <c r="E14" s="257">
        <v>15</v>
      </c>
      <c r="F14" s="10">
        <f>D14*E14</f>
        <v>0</v>
      </c>
      <c r="G14" s="272">
        <v>0.1</v>
      </c>
      <c r="H14" s="10">
        <f>(F14-F14*G14)</f>
        <v>0</v>
      </c>
      <c r="J14">
        <f>$D$14*J12</f>
        <v>0</v>
      </c>
      <c r="K14">
        <f>$D$14*K12</f>
        <v>0</v>
      </c>
      <c r="L14">
        <f>$D$14*L12</f>
        <v>0</v>
      </c>
      <c r="M14">
        <f>$D$14*M12</f>
        <v>0</v>
      </c>
      <c r="N14">
        <f>$D$14*N12</f>
        <v>0</v>
      </c>
    </row>
    <row r="15" spans="1:26">
      <c r="A15" s="471"/>
      <c r="B15" s="256" t="s">
        <v>496</v>
      </c>
      <c r="C15" s="271">
        <v>0.5</v>
      </c>
      <c r="D15" s="10">
        <f>$B$9*C15*0.75</f>
        <v>2085</v>
      </c>
      <c r="E15" s="257">
        <v>5</v>
      </c>
      <c r="F15" s="10">
        <f t="shared" ref="F15:F36" si="1">D15*E15</f>
        <v>10425</v>
      </c>
      <c r="G15" s="272">
        <v>0</v>
      </c>
      <c r="H15" s="10">
        <f>(F15-F15*G15)</f>
        <v>10425</v>
      </c>
    </row>
    <row r="16" spans="1:26">
      <c r="A16" s="471"/>
      <c r="B16" s="256" t="s">
        <v>495</v>
      </c>
      <c r="C16" s="271">
        <v>0</v>
      </c>
      <c r="D16" s="10">
        <f t="shared" si="0"/>
        <v>0</v>
      </c>
      <c r="E16" s="257">
        <v>4</v>
      </c>
      <c r="F16" s="10">
        <f t="shared" si="1"/>
        <v>0</v>
      </c>
      <c r="G16" s="272">
        <v>0</v>
      </c>
      <c r="H16" s="10">
        <f t="shared" ref="H16:H36" si="2">(F16-F16*G16)</f>
        <v>0</v>
      </c>
    </row>
    <row r="17" spans="1:8">
      <c r="A17" s="471"/>
      <c r="B17" s="256" t="s">
        <v>493</v>
      </c>
      <c r="C17" s="271">
        <v>0.1</v>
      </c>
      <c r="D17" s="10">
        <f>$B$9*C17*0.75</f>
        <v>417</v>
      </c>
      <c r="E17" s="257">
        <v>4</v>
      </c>
      <c r="F17" s="10">
        <f t="shared" si="1"/>
        <v>1668</v>
      </c>
      <c r="G17" s="272">
        <v>0</v>
      </c>
      <c r="H17" s="10">
        <f t="shared" si="2"/>
        <v>1668</v>
      </c>
    </row>
    <row r="18" spans="1:8">
      <c r="A18" s="471"/>
      <c r="B18" s="256" t="s">
        <v>410</v>
      </c>
      <c r="C18" s="271">
        <v>0</v>
      </c>
      <c r="D18" s="10">
        <f t="shared" si="0"/>
        <v>0</v>
      </c>
      <c r="E18" s="257">
        <v>20</v>
      </c>
      <c r="F18" s="10">
        <f t="shared" si="1"/>
        <v>0</v>
      </c>
      <c r="G18" s="272">
        <v>0</v>
      </c>
      <c r="H18" s="10">
        <f t="shared" si="2"/>
        <v>0</v>
      </c>
    </row>
    <row r="19" spans="1:8">
      <c r="A19" s="471"/>
      <c r="B19" s="256" t="s">
        <v>494</v>
      </c>
      <c r="C19" s="271">
        <v>0.1</v>
      </c>
      <c r="D19" s="10">
        <f>$B$9*C19*0.75</f>
        <v>417</v>
      </c>
      <c r="E19" s="257">
        <v>5</v>
      </c>
      <c r="F19" s="10">
        <f t="shared" si="1"/>
        <v>2085</v>
      </c>
      <c r="G19" s="272">
        <v>0</v>
      </c>
      <c r="H19" s="10">
        <f t="shared" si="2"/>
        <v>2085</v>
      </c>
    </row>
    <row r="20" spans="1:8">
      <c r="A20" s="471"/>
      <c r="B20" s="256" t="s">
        <v>487</v>
      </c>
      <c r="C20" s="271">
        <v>0</v>
      </c>
      <c r="D20" s="10">
        <f t="shared" si="0"/>
        <v>0</v>
      </c>
      <c r="E20" s="257">
        <v>6</v>
      </c>
      <c r="F20" s="10">
        <f t="shared" si="1"/>
        <v>0</v>
      </c>
      <c r="G20" s="272">
        <v>0.02</v>
      </c>
      <c r="H20" s="10">
        <f t="shared" si="2"/>
        <v>0</v>
      </c>
    </row>
    <row r="21" spans="1:8">
      <c r="A21" s="471"/>
      <c r="B21" s="256" t="s">
        <v>413</v>
      </c>
      <c r="C21" s="271">
        <v>0.3</v>
      </c>
      <c r="D21" s="10">
        <f>$B$9*C21*0.75</f>
        <v>1251</v>
      </c>
      <c r="E21" s="257">
        <v>5</v>
      </c>
      <c r="F21" s="10">
        <f t="shared" si="1"/>
        <v>6255</v>
      </c>
      <c r="G21" s="272">
        <v>0</v>
      </c>
      <c r="H21" s="10">
        <f t="shared" si="2"/>
        <v>6255</v>
      </c>
    </row>
    <row r="22" spans="1:8">
      <c r="A22" s="472"/>
      <c r="B22" s="256" t="s">
        <v>497</v>
      </c>
      <c r="C22" s="271">
        <v>0</v>
      </c>
      <c r="D22" s="10">
        <f t="shared" si="0"/>
        <v>0</v>
      </c>
      <c r="E22" s="257"/>
      <c r="F22" s="10">
        <f t="shared" si="1"/>
        <v>0</v>
      </c>
      <c r="G22" s="272">
        <v>0</v>
      </c>
      <c r="H22" s="10">
        <f t="shared" si="2"/>
        <v>0</v>
      </c>
    </row>
    <row r="23" spans="1:8">
      <c r="A23" s="286" t="s">
        <v>501</v>
      </c>
      <c r="B23" s="295">
        <v>0.2</v>
      </c>
      <c r="C23" s="297">
        <f>B9*B23</f>
        <v>1112</v>
      </c>
      <c r="D23" s="10"/>
      <c r="E23" s="257"/>
      <c r="F23" s="10"/>
      <c r="G23" s="272"/>
      <c r="H23" s="10"/>
    </row>
    <row r="24" spans="1:8">
      <c r="A24" s="470" t="s">
        <v>411</v>
      </c>
      <c r="B24" s="256" t="s">
        <v>412</v>
      </c>
      <c r="C24" s="271">
        <v>0</v>
      </c>
      <c r="D24" s="10">
        <f t="shared" ref="D24:D31" si="3">C$23*C24</f>
        <v>0</v>
      </c>
      <c r="E24" s="257">
        <v>10</v>
      </c>
      <c r="F24" s="10">
        <f t="shared" si="1"/>
        <v>0</v>
      </c>
      <c r="G24" s="272">
        <v>0.1</v>
      </c>
      <c r="H24" s="10">
        <f t="shared" si="2"/>
        <v>0</v>
      </c>
    </row>
    <row r="25" spans="1:8">
      <c r="A25" s="471"/>
      <c r="B25" s="256" t="s">
        <v>413</v>
      </c>
      <c r="C25" s="271">
        <v>1</v>
      </c>
      <c r="D25" s="10">
        <f t="shared" si="3"/>
        <v>1112</v>
      </c>
      <c r="E25" s="257">
        <v>5</v>
      </c>
      <c r="F25" s="10">
        <f t="shared" si="1"/>
        <v>5560</v>
      </c>
      <c r="G25" s="272">
        <v>0.1</v>
      </c>
      <c r="H25" s="10">
        <f t="shared" si="2"/>
        <v>5004</v>
      </c>
    </row>
    <row r="26" spans="1:8">
      <c r="A26" s="471"/>
      <c r="B26" s="256" t="s">
        <v>414</v>
      </c>
      <c r="C26" s="271">
        <v>0</v>
      </c>
      <c r="D26" s="10">
        <f t="shared" si="3"/>
        <v>0</v>
      </c>
      <c r="E26" s="257">
        <v>10</v>
      </c>
      <c r="F26" s="10">
        <f t="shared" si="1"/>
        <v>0</v>
      </c>
      <c r="G26" s="272">
        <v>0.05</v>
      </c>
      <c r="H26" s="10">
        <f t="shared" si="2"/>
        <v>0</v>
      </c>
    </row>
    <row r="27" spans="1:8">
      <c r="A27" s="471"/>
      <c r="B27" s="256" t="s">
        <v>410</v>
      </c>
      <c r="C27" s="271">
        <v>0</v>
      </c>
      <c r="D27" s="10">
        <f t="shared" si="3"/>
        <v>0</v>
      </c>
      <c r="E27" s="257">
        <v>20</v>
      </c>
      <c r="F27" s="10">
        <f t="shared" si="1"/>
        <v>0</v>
      </c>
      <c r="G27" s="272">
        <v>0</v>
      </c>
      <c r="H27" s="10">
        <f t="shared" si="2"/>
        <v>0</v>
      </c>
    </row>
    <row r="28" spans="1:8">
      <c r="A28" s="471"/>
      <c r="B28" s="256" t="s">
        <v>498</v>
      </c>
      <c r="C28" s="271">
        <v>0</v>
      </c>
      <c r="D28" s="10">
        <f t="shared" si="3"/>
        <v>0</v>
      </c>
      <c r="E28" s="257"/>
      <c r="F28" s="10">
        <f t="shared" si="1"/>
        <v>0</v>
      </c>
      <c r="G28" s="272">
        <v>0</v>
      </c>
      <c r="H28" s="10">
        <f t="shared" si="2"/>
        <v>0</v>
      </c>
    </row>
    <row r="29" spans="1:8">
      <c r="A29" s="471"/>
      <c r="B29" s="256"/>
      <c r="C29" s="271">
        <v>0</v>
      </c>
      <c r="D29" s="10">
        <f t="shared" si="3"/>
        <v>0</v>
      </c>
      <c r="E29" s="257"/>
      <c r="F29" s="10">
        <f t="shared" si="1"/>
        <v>0</v>
      </c>
      <c r="G29" s="272">
        <v>0</v>
      </c>
      <c r="H29" s="10">
        <f t="shared" si="2"/>
        <v>0</v>
      </c>
    </row>
    <row r="30" spans="1:8">
      <c r="A30" s="471"/>
      <c r="B30" s="256"/>
      <c r="C30" s="271">
        <v>0</v>
      </c>
      <c r="D30" s="10">
        <f t="shared" si="3"/>
        <v>0</v>
      </c>
      <c r="E30" s="257"/>
      <c r="F30" s="10">
        <f t="shared" si="1"/>
        <v>0</v>
      </c>
      <c r="G30" s="272">
        <v>0</v>
      </c>
      <c r="H30" s="10">
        <f t="shared" si="2"/>
        <v>0</v>
      </c>
    </row>
    <row r="31" spans="1:8">
      <c r="A31" s="472"/>
      <c r="B31" s="256"/>
      <c r="C31" s="271">
        <v>0</v>
      </c>
      <c r="D31" s="10">
        <f t="shared" si="3"/>
        <v>0</v>
      </c>
      <c r="E31" s="257"/>
      <c r="F31" s="10">
        <f t="shared" si="1"/>
        <v>0</v>
      </c>
      <c r="G31" s="272">
        <v>0</v>
      </c>
      <c r="H31" s="10">
        <f t="shared" si="2"/>
        <v>0</v>
      </c>
    </row>
    <row r="32" spans="1:8">
      <c r="A32" s="286" t="s">
        <v>500</v>
      </c>
      <c r="B32" s="295">
        <v>0.05</v>
      </c>
      <c r="C32" s="265">
        <f>B9*B32</f>
        <v>278</v>
      </c>
      <c r="D32" s="10"/>
      <c r="E32" s="257"/>
      <c r="F32" s="10"/>
      <c r="G32" s="272"/>
      <c r="H32" s="10"/>
    </row>
    <row r="33" spans="1:8">
      <c r="A33" s="298" t="s">
        <v>478</v>
      </c>
      <c r="B33" s="256" t="s">
        <v>499</v>
      </c>
      <c r="C33" s="271">
        <v>0</v>
      </c>
      <c r="D33" s="10">
        <f>C$32*C33</f>
        <v>0</v>
      </c>
      <c r="E33" s="257"/>
      <c r="F33" s="10">
        <f t="shared" si="1"/>
        <v>0</v>
      </c>
      <c r="G33" s="272">
        <v>0</v>
      </c>
      <c r="H33" s="10">
        <f t="shared" si="2"/>
        <v>0</v>
      </c>
    </row>
    <row r="34" spans="1:8">
      <c r="A34" s="299"/>
      <c r="B34" s="256" t="s">
        <v>413</v>
      </c>
      <c r="C34" s="271">
        <v>1</v>
      </c>
      <c r="D34" s="10">
        <f>C$32*C34</f>
        <v>278</v>
      </c>
      <c r="E34" s="257">
        <v>5</v>
      </c>
      <c r="F34" s="10">
        <f t="shared" si="1"/>
        <v>1390</v>
      </c>
      <c r="G34" s="272">
        <v>0</v>
      </c>
      <c r="H34" s="10">
        <f t="shared" si="2"/>
        <v>1390</v>
      </c>
    </row>
    <row r="35" spans="1:8">
      <c r="A35" s="299"/>
      <c r="B35" s="256"/>
      <c r="C35" s="271">
        <v>0</v>
      </c>
      <c r="D35" s="10">
        <f>C$32*C35</f>
        <v>0</v>
      </c>
      <c r="E35" s="257"/>
      <c r="F35" s="10">
        <f t="shared" si="1"/>
        <v>0</v>
      </c>
      <c r="G35" s="272">
        <v>0</v>
      </c>
      <c r="H35" s="10">
        <f t="shared" si="2"/>
        <v>0</v>
      </c>
    </row>
    <row r="36" spans="1:8">
      <c r="A36" s="300"/>
      <c r="B36" s="256"/>
      <c r="C36" s="271">
        <v>0</v>
      </c>
      <c r="D36" s="10">
        <f>C$32*C36</f>
        <v>0</v>
      </c>
      <c r="E36" s="257"/>
      <c r="F36" s="10">
        <f t="shared" si="1"/>
        <v>0</v>
      </c>
      <c r="G36" s="272">
        <v>0</v>
      </c>
      <c r="H36" s="10">
        <f t="shared" si="2"/>
        <v>0</v>
      </c>
    </row>
    <row r="37" spans="1:8">
      <c r="A37" s="469" t="s">
        <v>415</v>
      </c>
      <c r="B37" s="469"/>
      <c r="C37" s="469"/>
      <c r="D37" s="469"/>
      <c r="E37" s="469"/>
      <c r="F37" s="469"/>
      <c r="G37" s="469"/>
      <c r="H37" s="469"/>
    </row>
    <row r="39" spans="1:8" ht="17.5">
      <c r="A39" s="473" t="s">
        <v>594</v>
      </c>
      <c r="B39" s="474"/>
      <c r="C39" s="474"/>
      <c r="D39" s="474"/>
      <c r="E39" s="474"/>
      <c r="F39" s="474"/>
      <c r="G39" s="474"/>
      <c r="H39" s="475"/>
    </row>
    <row r="40" spans="1:8">
      <c r="A40" s="476" t="s">
        <v>0</v>
      </c>
      <c r="B40" s="287">
        <v>0.3</v>
      </c>
      <c r="C40" s="287">
        <f t="shared" ref="C40:H40" si="4">B40+0.05</f>
        <v>0.35</v>
      </c>
      <c r="D40" s="287">
        <f t="shared" si="4"/>
        <v>0.39999999999999997</v>
      </c>
      <c r="E40" s="287">
        <f t="shared" si="4"/>
        <v>0.44999999999999996</v>
      </c>
      <c r="F40" s="287">
        <f t="shared" si="4"/>
        <v>0.49999999999999994</v>
      </c>
      <c r="G40" s="287">
        <f t="shared" si="4"/>
        <v>0.54999999999999993</v>
      </c>
      <c r="H40" s="287">
        <f t="shared" si="4"/>
        <v>0.6</v>
      </c>
    </row>
    <row r="41" spans="1:8">
      <c r="A41" s="477"/>
      <c r="B41" s="278" t="s">
        <v>2</v>
      </c>
      <c r="C41" s="278" t="s">
        <v>3</v>
      </c>
      <c r="D41" s="278" t="s">
        <v>4</v>
      </c>
      <c r="E41" s="278" t="s">
        <v>5</v>
      </c>
      <c r="F41" s="278" t="s">
        <v>6</v>
      </c>
      <c r="G41" s="278" t="s">
        <v>171</v>
      </c>
      <c r="H41" s="278" t="s">
        <v>170</v>
      </c>
    </row>
    <row r="42" spans="1:8">
      <c r="A42" s="10" t="str">
        <f t="shared" ref="A42:A50" si="5">B14</f>
        <v>Soybean</v>
      </c>
      <c r="B42" s="10">
        <f t="shared" ref="B42:B50" si="6">H14*$B$40</f>
        <v>0</v>
      </c>
      <c r="C42" s="10">
        <f t="shared" ref="C42:H51" si="7">(B42/B$40)*C$40</f>
        <v>0</v>
      </c>
      <c r="D42" s="10">
        <f t="shared" si="7"/>
        <v>0</v>
      </c>
      <c r="E42" s="10">
        <f t="shared" si="7"/>
        <v>0</v>
      </c>
      <c r="F42" s="10">
        <f t="shared" si="7"/>
        <v>0</v>
      </c>
      <c r="G42" s="10">
        <f t="shared" si="7"/>
        <v>0</v>
      </c>
      <c r="H42" s="10">
        <f t="shared" si="7"/>
        <v>0</v>
      </c>
    </row>
    <row r="43" spans="1:8">
      <c r="A43" s="10" t="str">
        <f t="shared" si="5"/>
        <v>Red Gram/Tur</v>
      </c>
      <c r="B43" s="10">
        <f>H15*$B$40*0</f>
        <v>0</v>
      </c>
      <c r="C43" s="10">
        <f t="shared" si="7"/>
        <v>0</v>
      </c>
      <c r="D43" s="10">
        <f t="shared" si="7"/>
        <v>0</v>
      </c>
      <c r="E43" s="10">
        <f t="shared" si="7"/>
        <v>0</v>
      </c>
      <c r="F43" s="10">
        <f t="shared" si="7"/>
        <v>0</v>
      </c>
      <c r="G43" s="10">
        <f t="shared" si="7"/>
        <v>0</v>
      </c>
      <c r="H43" s="10">
        <f t="shared" si="7"/>
        <v>0</v>
      </c>
    </row>
    <row r="44" spans="1:8">
      <c r="A44" s="10" t="str">
        <f t="shared" si="5"/>
        <v>Paddy/Rice</v>
      </c>
      <c r="B44" s="10">
        <f t="shared" si="6"/>
        <v>0</v>
      </c>
      <c r="C44" s="10">
        <f t="shared" si="7"/>
        <v>0</v>
      </c>
      <c r="D44" s="10">
        <f t="shared" si="7"/>
        <v>0</v>
      </c>
      <c r="E44" s="10">
        <f t="shared" si="7"/>
        <v>0</v>
      </c>
      <c r="F44" s="10">
        <f t="shared" si="7"/>
        <v>0</v>
      </c>
      <c r="G44" s="10">
        <f t="shared" si="7"/>
        <v>0</v>
      </c>
      <c r="H44" s="10">
        <f t="shared" si="7"/>
        <v>0</v>
      </c>
    </row>
    <row r="45" spans="1:8">
      <c r="A45" s="10" t="str">
        <f t="shared" si="5"/>
        <v>Green Gram/ Moong</v>
      </c>
      <c r="B45" s="10">
        <f>H17*$B$40*0</f>
        <v>0</v>
      </c>
      <c r="C45" s="10">
        <f t="shared" si="7"/>
        <v>0</v>
      </c>
      <c r="D45" s="10">
        <f t="shared" si="7"/>
        <v>0</v>
      </c>
      <c r="E45" s="10">
        <f t="shared" si="7"/>
        <v>0</v>
      </c>
      <c r="F45" s="10">
        <f t="shared" si="7"/>
        <v>0</v>
      </c>
      <c r="G45" s="10">
        <f t="shared" si="7"/>
        <v>0</v>
      </c>
      <c r="H45" s="10">
        <f t="shared" si="7"/>
        <v>0</v>
      </c>
    </row>
    <row r="46" spans="1:8">
      <c r="A46" s="10" t="str">
        <f t="shared" si="5"/>
        <v>Maize</v>
      </c>
      <c r="B46" s="10">
        <f t="shared" si="6"/>
        <v>0</v>
      </c>
      <c r="C46" s="10">
        <f t="shared" si="7"/>
        <v>0</v>
      </c>
      <c r="D46" s="10">
        <f t="shared" si="7"/>
        <v>0</v>
      </c>
      <c r="E46" s="10">
        <f t="shared" si="7"/>
        <v>0</v>
      </c>
      <c r="F46" s="10">
        <f t="shared" si="7"/>
        <v>0</v>
      </c>
      <c r="G46" s="10">
        <f t="shared" si="7"/>
        <v>0</v>
      </c>
      <c r="H46" s="10">
        <f t="shared" si="7"/>
        <v>0</v>
      </c>
    </row>
    <row r="47" spans="1:8">
      <c r="A47" s="10" t="str">
        <f t="shared" si="5"/>
        <v>Black Gram/Udid</v>
      </c>
      <c r="B47" s="10">
        <f>H19*$B$40*0</f>
        <v>0</v>
      </c>
      <c r="C47" s="10">
        <f t="shared" si="7"/>
        <v>0</v>
      </c>
      <c r="D47" s="10">
        <f t="shared" si="7"/>
        <v>0</v>
      </c>
      <c r="E47" s="10">
        <f t="shared" si="7"/>
        <v>0</v>
      </c>
      <c r="F47" s="10">
        <f t="shared" si="7"/>
        <v>0</v>
      </c>
      <c r="G47" s="10">
        <f t="shared" si="7"/>
        <v>0</v>
      </c>
      <c r="H47" s="10">
        <f t="shared" si="7"/>
        <v>0</v>
      </c>
    </row>
    <row r="48" spans="1:8">
      <c r="A48" s="10" t="str">
        <f t="shared" si="5"/>
        <v>Bajra</v>
      </c>
      <c r="B48" s="10">
        <f t="shared" si="6"/>
        <v>0</v>
      </c>
      <c r="C48" s="10">
        <f t="shared" si="7"/>
        <v>0</v>
      </c>
      <c r="D48" s="10">
        <f t="shared" si="7"/>
        <v>0</v>
      </c>
      <c r="E48" s="10">
        <f t="shared" si="7"/>
        <v>0</v>
      </c>
      <c r="F48" s="10">
        <f t="shared" si="7"/>
        <v>0</v>
      </c>
      <c r="G48" s="10">
        <f t="shared" si="7"/>
        <v>0</v>
      </c>
      <c r="H48" s="10">
        <f t="shared" si="7"/>
        <v>0</v>
      </c>
    </row>
    <row r="49" spans="1:8">
      <c r="A49" s="10" t="str">
        <f t="shared" si="5"/>
        <v>Bengal Gram/Channa</v>
      </c>
      <c r="B49" s="10">
        <f>H21*$B$40*0</f>
        <v>0</v>
      </c>
      <c r="C49" s="10">
        <f t="shared" si="7"/>
        <v>0</v>
      </c>
      <c r="D49" s="10">
        <f t="shared" si="7"/>
        <v>0</v>
      </c>
      <c r="E49" s="10">
        <f t="shared" si="7"/>
        <v>0</v>
      </c>
      <c r="F49" s="10">
        <f t="shared" si="7"/>
        <v>0</v>
      </c>
      <c r="G49" s="10">
        <f t="shared" si="7"/>
        <v>0</v>
      </c>
      <c r="H49" s="10">
        <f t="shared" si="7"/>
        <v>0</v>
      </c>
    </row>
    <row r="50" spans="1:8">
      <c r="A50" s="10" t="str">
        <f t="shared" si="5"/>
        <v>Sunflower</v>
      </c>
      <c r="B50" s="10">
        <f t="shared" si="6"/>
        <v>0</v>
      </c>
      <c r="C50" s="10">
        <f t="shared" si="7"/>
        <v>0</v>
      </c>
      <c r="D50" s="10">
        <f t="shared" si="7"/>
        <v>0</v>
      </c>
      <c r="E50" s="10">
        <f t="shared" si="7"/>
        <v>0</v>
      </c>
      <c r="F50" s="10">
        <f t="shared" si="7"/>
        <v>0</v>
      </c>
      <c r="G50" s="10">
        <f t="shared" si="7"/>
        <v>0</v>
      </c>
      <c r="H50" s="10">
        <f t="shared" si="7"/>
        <v>0</v>
      </c>
    </row>
    <row r="51" spans="1:8">
      <c r="A51" s="10" t="str">
        <f t="shared" ref="A51:A58" si="8">B24</f>
        <v>Wheat</v>
      </c>
      <c r="B51" s="10">
        <f t="shared" ref="B51:B58" si="9">H24*$B$40</f>
        <v>0</v>
      </c>
      <c r="C51" s="10">
        <f t="shared" si="7"/>
        <v>0</v>
      </c>
      <c r="D51" s="10">
        <f t="shared" si="7"/>
        <v>0</v>
      </c>
      <c r="E51" s="10">
        <f t="shared" si="7"/>
        <v>0</v>
      </c>
      <c r="F51" s="10">
        <f t="shared" si="7"/>
        <v>0</v>
      </c>
      <c r="G51" s="10">
        <f t="shared" si="7"/>
        <v>0</v>
      </c>
      <c r="H51" s="10">
        <f t="shared" si="7"/>
        <v>0</v>
      </c>
    </row>
    <row r="52" spans="1:8">
      <c r="A52" s="10" t="str">
        <f t="shared" si="8"/>
        <v>Bengal Gram/Channa</v>
      </c>
      <c r="B52" s="10">
        <f>H25*$B$40*0</f>
        <v>0</v>
      </c>
      <c r="C52" s="10">
        <f t="shared" ref="C52:H61" si="10">(B52/B$40)*C$40</f>
        <v>0</v>
      </c>
      <c r="D52" s="10">
        <f t="shared" si="10"/>
        <v>0</v>
      </c>
      <c r="E52" s="10">
        <f t="shared" si="10"/>
        <v>0</v>
      </c>
      <c r="F52" s="10">
        <f t="shared" si="10"/>
        <v>0</v>
      </c>
      <c r="G52" s="10">
        <f t="shared" si="10"/>
        <v>0</v>
      </c>
      <c r="H52" s="10">
        <f t="shared" si="10"/>
        <v>0</v>
      </c>
    </row>
    <row r="53" spans="1:8">
      <c r="A53" s="10" t="str">
        <f t="shared" si="8"/>
        <v>Jawar</v>
      </c>
      <c r="B53" s="10">
        <f t="shared" si="9"/>
        <v>0</v>
      </c>
      <c r="C53" s="10">
        <f t="shared" si="10"/>
        <v>0</v>
      </c>
      <c r="D53" s="10">
        <f t="shared" si="10"/>
        <v>0</v>
      </c>
      <c r="E53" s="10">
        <f t="shared" si="10"/>
        <v>0</v>
      </c>
      <c r="F53" s="10">
        <f t="shared" si="10"/>
        <v>0</v>
      </c>
      <c r="G53" s="10">
        <f t="shared" si="10"/>
        <v>0</v>
      </c>
      <c r="H53" s="10">
        <f t="shared" si="10"/>
        <v>0</v>
      </c>
    </row>
    <row r="54" spans="1:8">
      <c r="A54" s="10" t="str">
        <f t="shared" si="8"/>
        <v>Maize</v>
      </c>
      <c r="B54" s="10">
        <f t="shared" si="9"/>
        <v>0</v>
      </c>
      <c r="C54" s="10">
        <f t="shared" si="10"/>
        <v>0</v>
      </c>
      <c r="D54" s="10">
        <f t="shared" si="10"/>
        <v>0</v>
      </c>
      <c r="E54" s="10">
        <f t="shared" si="10"/>
        <v>0</v>
      </c>
      <c r="F54" s="10">
        <f t="shared" si="10"/>
        <v>0</v>
      </c>
      <c r="G54" s="10">
        <f t="shared" si="10"/>
        <v>0</v>
      </c>
      <c r="H54" s="10">
        <f t="shared" si="10"/>
        <v>0</v>
      </c>
    </row>
    <row r="55" spans="1:8">
      <c r="A55" s="10" t="str">
        <f t="shared" si="8"/>
        <v>Safflower</v>
      </c>
      <c r="B55" s="10">
        <f t="shared" si="9"/>
        <v>0</v>
      </c>
      <c r="C55" s="10">
        <f t="shared" si="10"/>
        <v>0</v>
      </c>
      <c r="D55" s="10">
        <f t="shared" si="10"/>
        <v>0</v>
      </c>
      <c r="E55" s="10">
        <f t="shared" si="10"/>
        <v>0</v>
      </c>
      <c r="F55" s="10">
        <f t="shared" si="10"/>
        <v>0</v>
      </c>
      <c r="G55" s="10">
        <f t="shared" si="10"/>
        <v>0</v>
      </c>
      <c r="H55" s="10">
        <f t="shared" si="10"/>
        <v>0</v>
      </c>
    </row>
    <row r="56" spans="1:8">
      <c r="A56" s="10">
        <f t="shared" si="8"/>
        <v>0</v>
      </c>
      <c r="B56" s="10">
        <f t="shared" si="9"/>
        <v>0</v>
      </c>
      <c r="C56" s="10">
        <f t="shared" si="10"/>
        <v>0</v>
      </c>
      <c r="D56" s="10">
        <f t="shared" si="10"/>
        <v>0</v>
      </c>
      <c r="E56" s="10">
        <f t="shared" si="10"/>
        <v>0</v>
      </c>
      <c r="F56" s="10">
        <f t="shared" si="10"/>
        <v>0</v>
      </c>
      <c r="G56" s="10">
        <f t="shared" si="10"/>
        <v>0</v>
      </c>
      <c r="H56" s="10">
        <f t="shared" si="10"/>
        <v>0</v>
      </c>
    </row>
    <row r="57" spans="1:8">
      <c r="A57" s="10">
        <f t="shared" si="8"/>
        <v>0</v>
      </c>
      <c r="B57" s="10">
        <f t="shared" si="9"/>
        <v>0</v>
      </c>
      <c r="C57" s="10">
        <f t="shared" si="10"/>
        <v>0</v>
      </c>
      <c r="D57" s="10">
        <f t="shared" si="10"/>
        <v>0</v>
      </c>
      <c r="E57" s="10">
        <f t="shared" si="10"/>
        <v>0</v>
      </c>
      <c r="F57" s="10">
        <f t="shared" si="10"/>
        <v>0</v>
      </c>
      <c r="G57" s="10">
        <f t="shared" si="10"/>
        <v>0</v>
      </c>
      <c r="H57" s="10">
        <f t="shared" si="10"/>
        <v>0</v>
      </c>
    </row>
    <row r="58" spans="1:8">
      <c r="A58" s="10">
        <f t="shared" si="8"/>
        <v>0</v>
      </c>
      <c r="B58" s="10">
        <f t="shared" si="9"/>
        <v>0</v>
      </c>
      <c r="C58" s="10">
        <f t="shared" si="10"/>
        <v>0</v>
      </c>
      <c r="D58" s="10">
        <f t="shared" si="10"/>
        <v>0</v>
      </c>
      <c r="E58" s="10">
        <f t="shared" si="10"/>
        <v>0</v>
      </c>
      <c r="F58" s="10">
        <f t="shared" si="10"/>
        <v>0</v>
      </c>
      <c r="G58" s="10">
        <f t="shared" si="10"/>
        <v>0</v>
      </c>
      <c r="H58" s="10">
        <f t="shared" si="10"/>
        <v>0</v>
      </c>
    </row>
    <row r="59" spans="1:8">
      <c r="A59" s="10" t="str">
        <f>B33</f>
        <v>Groundnut</v>
      </c>
      <c r="B59" s="10">
        <f>H33*$B$40</f>
        <v>0</v>
      </c>
      <c r="C59" s="10">
        <f t="shared" si="10"/>
        <v>0</v>
      </c>
      <c r="D59" s="10">
        <f t="shared" si="10"/>
        <v>0</v>
      </c>
      <c r="E59" s="10">
        <f t="shared" si="10"/>
        <v>0</v>
      </c>
      <c r="F59" s="10">
        <f t="shared" si="10"/>
        <v>0</v>
      </c>
      <c r="G59" s="10">
        <f t="shared" si="10"/>
        <v>0</v>
      </c>
      <c r="H59" s="10">
        <f t="shared" si="10"/>
        <v>0</v>
      </c>
    </row>
    <row r="60" spans="1:8">
      <c r="A60" s="10" t="str">
        <f>B34</f>
        <v>Bengal Gram/Channa</v>
      </c>
      <c r="B60" s="10">
        <f>H34*$B$40*0</f>
        <v>0</v>
      </c>
      <c r="C60" s="10">
        <f t="shared" si="10"/>
        <v>0</v>
      </c>
      <c r="D60" s="10">
        <f t="shared" si="10"/>
        <v>0</v>
      </c>
      <c r="E60" s="10">
        <f t="shared" si="10"/>
        <v>0</v>
      </c>
      <c r="F60" s="10">
        <f t="shared" si="10"/>
        <v>0</v>
      </c>
      <c r="G60" s="10">
        <f t="shared" si="10"/>
        <v>0</v>
      </c>
      <c r="H60" s="10">
        <f t="shared" si="10"/>
        <v>0</v>
      </c>
    </row>
    <row r="61" spans="1:8">
      <c r="A61" s="10">
        <f>B35</f>
        <v>0</v>
      </c>
      <c r="B61" s="10">
        <f>H35*$B$40</f>
        <v>0</v>
      </c>
      <c r="C61" s="10">
        <f t="shared" si="10"/>
        <v>0</v>
      </c>
      <c r="D61" s="10">
        <f t="shared" si="10"/>
        <v>0</v>
      </c>
      <c r="E61" s="10">
        <f t="shared" si="10"/>
        <v>0</v>
      </c>
      <c r="F61" s="10">
        <f t="shared" si="10"/>
        <v>0</v>
      </c>
      <c r="G61" s="10">
        <f t="shared" si="10"/>
        <v>0</v>
      </c>
      <c r="H61" s="10">
        <f t="shared" si="10"/>
        <v>0</v>
      </c>
    </row>
    <row r="62" spans="1:8">
      <c r="A62" s="10">
        <f>B36</f>
        <v>0</v>
      </c>
      <c r="B62" s="10">
        <f>H36*$B$40</f>
        <v>0</v>
      </c>
      <c r="C62" s="10">
        <f t="shared" ref="C62:H62" si="11">(B62/B$40)*C$40</f>
        <v>0</v>
      </c>
      <c r="D62" s="10">
        <f t="shared" si="11"/>
        <v>0</v>
      </c>
      <c r="E62" s="10">
        <f t="shared" si="11"/>
        <v>0</v>
      </c>
      <c r="F62" s="10">
        <f t="shared" si="11"/>
        <v>0</v>
      </c>
      <c r="G62" s="10">
        <f t="shared" si="11"/>
        <v>0</v>
      </c>
      <c r="H62" s="10">
        <f t="shared" si="11"/>
        <v>0</v>
      </c>
    </row>
    <row r="64" spans="1:8" ht="17.5">
      <c r="A64" s="478" t="s">
        <v>595</v>
      </c>
      <c r="B64" s="479"/>
      <c r="C64" s="479"/>
      <c r="D64" s="479"/>
      <c r="E64" s="479"/>
      <c r="F64" s="479"/>
      <c r="G64" s="479"/>
      <c r="H64" s="480"/>
    </row>
    <row r="65" spans="1:8">
      <c r="A65" s="481" t="s">
        <v>0</v>
      </c>
      <c r="B65" s="288">
        <v>0.7</v>
      </c>
      <c r="C65" s="288">
        <v>0.72</v>
      </c>
      <c r="D65" s="288">
        <v>0.74</v>
      </c>
      <c r="E65" s="288">
        <v>0.76</v>
      </c>
      <c r="F65" s="288">
        <v>0.78</v>
      </c>
      <c r="G65" s="288">
        <v>0.8</v>
      </c>
      <c r="H65" s="288">
        <v>0.82</v>
      </c>
    </row>
    <row r="66" spans="1:8">
      <c r="A66" s="482"/>
      <c r="B66" s="278" t="s">
        <v>2</v>
      </c>
      <c r="C66" s="278" t="s">
        <v>3</v>
      </c>
      <c r="D66" s="278" t="s">
        <v>4</v>
      </c>
      <c r="E66" s="278" t="s">
        <v>5</v>
      </c>
      <c r="F66" s="278" t="s">
        <v>6</v>
      </c>
      <c r="G66" s="278" t="s">
        <v>171</v>
      </c>
      <c r="H66" s="278" t="s">
        <v>170</v>
      </c>
    </row>
    <row r="67" spans="1:8" s="13" customFormat="1">
      <c r="A67" s="10" t="str">
        <f t="shared" ref="A67:A87" si="12">A42</f>
        <v>Soybean</v>
      </c>
      <c r="B67" s="10">
        <f>H14*$B$65*0</f>
        <v>0</v>
      </c>
      <c r="C67" s="10">
        <f>(B67/B$65)*C$65</f>
        <v>0</v>
      </c>
      <c r="D67" s="10">
        <f t="shared" ref="D67:H68" si="13">(C67/C$65)*D$65</f>
        <v>0</v>
      </c>
      <c r="E67" s="10">
        <f t="shared" si="13"/>
        <v>0</v>
      </c>
      <c r="F67" s="10">
        <f t="shared" si="13"/>
        <v>0</v>
      </c>
      <c r="G67" s="10">
        <f t="shared" si="13"/>
        <v>0</v>
      </c>
      <c r="H67" s="10">
        <f t="shared" si="13"/>
        <v>0</v>
      </c>
    </row>
    <row r="68" spans="1:8">
      <c r="A68" s="10" t="str">
        <f t="shared" si="12"/>
        <v>Red Gram/Tur</v>
      </c>
      <c r="B68" s="10">
        <f>H15*$B$65</f>
        <v>7297.4999999999991</v>
      </c>
      <c r="C68" s="10">
        <f>(B68/B$65)*C$65</f>
        <v>7506</v>
      </c>
      <c r="D68" s="10">
        <f t="shared" si="13"/>
        <v>7714.5</v>
      </c>
      <c r="E68" s="10">
        <f t="shared" si="13"/>
        <v>7923</v>
      </c>
      <c r="F68" s="10">
        <f t="shared" si="13"/>
        <v>8131.5</v>
      </c>
      <c r="G68" s="10">
        <f t="shared" si="13"/>
        <v>8340</v>
      </c>
      <c r="H68" s="10">
        <f t="shared" si="13"/>
        <v>8548.5</v>
      </c>
    </row>
    <row r="69" spans="1:8">
      <c r="A69" s="10" t="str">
        <f t="shared" si="12"/>
        <v>Paddy/Rice</v>
      </c>
      <c r="B69" s="10">
        <f t="shared" ref="B69:B75" si="14">H16*$B$65</f>
        <v>0</v>
      </c>
      <c r="C69" s="10">
        <f t="shared" ref="C69:H69" si="15">(B69/B$65)*C$65</f>
        <v>0</v>
      </c>
      <c r="D69" s="10">
        <f t="shared" si="15"/>
        <v>0</v>
      </c>
      <c r="E69" s="10">
        <f t="shared" si="15"/>
        <v>0</v>
      </c>
      <c r="F69" s="10">
        <f t="shared" si="15"/>
        <v>0</v>
      </c>
      <c r="G69" s="10">
        <f t="shared" si="15"/>
        <v>0</v>
      </c>
      <c r="H69" s="10">
        <f t="shared" si="15"/>
        <v>0</v>
      </c>
    </row>
    <row r="70" spans="1:8">
      <c r="A70" s="10" t="str">
        <f t="shared" si="12"/>
        <v>Green Gram/ Moong</v>
      </c>
      <c r="B70" s="10">
        <f t="shared" si="14"/>
        <v>1167.5999999999999</v>
      </c>
      <c r="C70" s="10">
        <f t="shared" ref="C70:H70" si="16">(B70/B$65)*C$65</f>
        <v>1200.96</v>
      </c>
      <c r="D70" s="10">
        <f t="shared" si="16"/>
        <v>1234.32</v>
      </c>
      <c r="E70" s="10">
        <f t="shared" si="16"/>
        <v>1267.68</v>
      </c>
      <c r="F70" s="10">
        <f t="shared" si="16"/>
        <v>1301.04</v>
      </c>
      <c r="G70" s="10">
        <f t="shared" si="16"/>
        <v>1334.4</v>
      </c>
      <c r="H70" s="10">
        <f t="shared" si="16"/>
        <v>1367.76</v>
      </c>
    </row>
    <row r="71" spans="1:8">
      <c r="A71" s="10" t="str">
        <f t="shared" si="12"/>
        <v>Maize</v>
      </c>
      <c r="B71" s="10">
        <f t="shared" si="14"/>
        <v>0</v>
      </c>
      <c r="C71" s="10">
        <f t="shared" ref="C71:H71" si="17">(B71/B$65)*C$65</f>
        <v>0</v>
      </c>
      <c r="D71" s="10">
        <f t="shared" si="17"/>
        <v>0</v>
      </c>
      <c r="E71" s="10">
        <f t="shared" si="17"/>
        <v>0</v>
      </c>
      <c r="F71" s="10">
        <f t="shared" si="17"/>
        <v>0</v>
      </c>
      <c r="G71" s="10">
        <f t="shared" si="17"/>
        <v>0</v>
      </c>
      <c r="H71" s="10">
        <f t="shared" si="17"/>
        <v>0</v>
      </c>
    </row>
    <row r="72" spans="1:8">
      <c r="A72" s="10" t="str">
        <f t="shared" si="12"/>
        <v>Black Gram/Udid</v>
      </c>
      <c r="B72" s="10">
        <f t="shared" si="14"/>
        <v>1459.5</v>
      </c>
      <c r="C72" s="10">
        <f t="shared" ref="C72:H72" si="18">(B72/B$65)*C$65</f>
        <v>1501.2</v>
      </c>
      <c r="D72" s="10">
        <f t="shared" si="18"/>
        <v>1542.9</v>
      </c>
      <c r="E72" s="10">
        <f t="shared" si="18"/>
        <v>1584.6</v>
      </c>
      <c r="F72" s="10">
        <f t="shared" si="18"/>
        <v>1626.3</v>
      </c>
      <c r="G72" s="10">
        <f t="shared" si="18"/>
        <v>1668</v>
      </c>
      <c r="H72" s="10">
        <f t="shared" si="18"/>
        <v>1709.6999999999998</v>
      </c>
    </row>
    <row r="73" spans="1:8">
      <c r="A73" s="10" t="str">
        <f t="shared" si="12"/>
        <v>Bajra</v>
      </c>
      <c r="B73" s="10">
        <f t="shared" si="14"/>
        <v>0</v>
      </c>
      <c r="C73" s="10">
        <f t="shared" ref="C73:H73" si="19">(B73/B$65)*C$65</f>
        <v>0</v>
      </c>
      <c r="D73" s="10">
        <f t="shared" si="19"/>
        <v>0</v>
      </c>
      <c r="E73" s="10">
        <f t="shared" si="19"/>
        <v>0</v>
      </c>
      <c r="F73" s="10">
        <f t="shared" si="19"/>
        <v>0</v>
      </c>
      <c r="G73" s="10">
        <f t="shared" si="19"/>
        <v>0</v>
      </c>
      <c r="H73" s="10">
        <f t="shared" si="19"/>
        <v>0</v>
      </c>
    </row>
    <row r="74" spans="1:8">
      <c r="A74" s="10" t="str">
        <f t="shared" si="12"/>
        <v>Bengal Gram/Channa</v>
      </c>
      <c r="B74" s="10">
        <f t="shared" si="14"/>
        <v>4378.5</v>
      </c>
      <c r="C74" s="10">
        <f t="shared" ref="C74:H74" si="20">(B74/B$65)*C$65</f>
        <v>4503.5999999999995</v>
      </c>
      <c r="D74" s="10">
        <f t="shared" si="20"/>
        <v>4628.6999999999989</v>
      </c>
      <c r="E74" s="10">
        <f t="shared" si="20"/>
        <v>4753.7999999999984</v>
      </c>
      <c r="F74" s="10">
        <f t="shared" si="20"/>
        <v>4878.8999999999987</v>
      </c>
      <c r="G74" s="10">
        <f t="shared" si="20"/>
        <v>5003.9999999999991</v>
      </c>
      <c r="H74" s="10">
        <f t="shared" si="20"/>
        <v>5129.0999999999985</v>
      </c>
    </row>
    <row r="75" spans="1:8">
      <c r="A75" s="10" t="str">
        <f t="shared" si="12"/>
        <v>Sunflower</v>
      </c>
      <c r="B75" s="10">
        <f t="shared" si="14"/>
        <v>0</v>
      </c>
      <c r="C75" s="10">
        <f t="shared" ref="C75:H75" si="21">(B75/B$65)*C$65</f>
        <v>0</v>
      </c>
      <c r="D75" s="10">
        <f t="shared" si="21"/>
        <v>0</v>
      </c>
      <c r="E75" s="10">
        <f t="shared" si="21"/>
        <v>0</v>
      </c>
      <c r="F75" s="10">
        <f t="shared" si="21"/>
        <v>0</v>
      </c>
      <c r="G75" s="10">
        <f t="shared" si="21"/>
        <v>0</v>
      </c>
      <c r="H75" s="10">
        <f t="shared" si="21"/>
        <v>0</v>
      </c>
    </row>
    <row r="76" spans="1:8">
      <c r="A76" s="10" t="str">
        <f t="shared" si="12"/>
        <v>Wheat</v>
      </c>
      <c r="B76" s="10">
        <f t="shared" ref="B76:B83" si="22">H24*$B$65</f>
        <v>0</v>
      </c>
      <c r="C76" s="10">
        <f t="shared" ref="C76:H76" si="23">(B76/B$65)*C$65</f>
        <v>0</v>
      </c>
      <c r="D76" s="10">
        <f t="shared" si="23"/>
        <v>0</v>
      </c>
      <c r="E76" s="10">
        <f t="shared" si="23"/>
        <v>0</v>
      </c>
      <c r="F76" s="10">
        <f t="shared" si="23"/>
        <v>0</v>
      </c>
      <c r="G76" s="10">
        <f t="shared" si="23"/>
        <v>0</v>
      </c>
      <c r="H76" s="10">
        <f t="shared" si="23"/>
        <v>0</v>
      </c>
    </row>
    <row r="77" spans="1:8">
      <c r="A77" s="10" t="str">
        <f t="shared" si="12"/>
        <v>Bengal Gram/Channa</v>
      </c>
      <c r="B77" s="10">
        <f t="shared" si="22"/>
        <v>3502.7999999999997</v>
      </c>
      <c r="C77" s="10">
        <f t="shared" ref="C77:H77" si="24">(B77/B$65)*C$65</f>
        <v>3602.8799999999997</v>
      </c>
      <c r="D77" s="10">
        <f t="shared" si="24"/>
        <v>3702.96</v>
      </c>
      <c r="E77" s="10">
        <f t="shared" si="24"/>
        <v>3803.04</v>
      </c>
      <c r="F77" s="10">
        <f t="shared" si="24"/>
        <v>3903.1200000000003</v>
      </c>
      <c r="G77" s="10">
        <f t="shared" si="24"/>
        <v>4003.2000000000003</v>
      </c>
      <c r="H77" s="10">
        <f t="shared" si="24"/>
        <v>4103.28</v>
      </c>
    </row>
    <row r="78" spans="1:8">
      <c r="A78" s="10" t="str">
        <f t="shared" si="12"/>
        <v>Jawar</v>
      </c>
      <c r="B78" s="10">
        <f t="shared" si="22"/>
        <v>0</v>
      </c>
      <c r="C78" s="10">
        <f t="shared" ref="C78:H78" si="25">(B78/B$65)*C$65</f>
        <v>0</v>
      </c>
      <c r="D78" s="10">
        <f t="shared" si="25"/>
        <v>0</v>
      </c>
      <c r="E78" s="10">
        <f t="shared" si="25"/>
        <v>0</v>
      </c>
      <c r="F78" s="10">
        <f t="shared" si="25"/>
        <v>0</v>
      </c>
      <c r="G78" s="10">
        <f t="shared" si="25"/>
        <v>0</v>
      </c>
      <c r="H78" s="10">
        <f t="shared" si="25"/>
        <v>0</v>
      </c>
    </row>
    <row r="79" spans="1:8">
      <c r="A79" s="10" t="str">
        <f t="shared" si="12"/>
        <v>Maize</v>
      </c>
      <c r="B79" s="10">
        <f t="shared" si="22"/>
        <v>0</v>
      </c>
      <c r="C79" s="10">
        <f t="shared" ref="C79:H79" si="26">(B79/B$65)*C$65</f>
        <v>0</v>
      </c>
      <c r="D79" s="10">
        <f t="shared" si="26"/>
        <v>0</v>
      </c>
      <c r="E79" s="10">
        <f t="shared" si="26"/>
        <v>0</v>
      </c>
      <c r="F79" s="10">
        <f t="shared" si="26"/>
        <v>0</v>
      </c>
      <c r="G79" s="10">
        <f t="shared" si="26"/>
        <v>0</v>
      </c>
      <c r="H79" s="10">
        <f t="shared" si="26"/>
        <v>0</v>
      </c>
    </row>
    <row r="80" spans="1:8">
      <c r="A80" s="10" t="str">
        <f t="shared" si="12"/>
        <v>Safflower</v>
      </c>
      <c r="B80" s="10">
        <f t="shared" si="22"/>
        <v>0</v>
      </c>
      <c r="C80" s="10">
        <f t="shared" ref="C80:H80" si="27">(B80/B$65)*C$65</f>
        <v>0</v>
      </c>
      <c r="D80" s="10">
        <f t="shared" si="27"/>
        <v>0</v>
      </c>
      <c r="E80" s="10">
        <f t="shared" si="27"/>
        <v>0</v>
      </c>
      <c r="F80" s="10">
        <f t="shared" si="27"/>
        <v>0</v>
      </c>
      <c r="G80" s="10">
        <f t="shared" si="27"/>
        <v>0</v>
      </c>
      <c r="H80" s="10">
        <f t="shared" si="27"/>
        <v>0</v>
      </c>
    </row>
    <row r="81" spans="1:9">
      <c r="A81" s="10">
        <f t="shared" si="12"/>
        <v>0</v>
      </c>
      <c r="B81" s="10">
        <f t="shared" si="22"/>
        <v>0</v>
      </c>
      <c r="C81" s="10">
        <f t="shared" ref="C81:H81" si="28">(B81/B$65)*C$65</f>
        <v>0</v>
      </c>
      <c r="D81" s="10">
        <f t="shared" si="28"/>
        <v>0</v>
      </c>
      <c r="E81" s="10">
        <f t="shared" si="28"/>
        <v>0</v>
      </c>
      <c r="F81" s="10">
        <f t="shared" si="28"/>
        <v>0</v>
      </c>
      <c r="G81" s="10">
        <f t="shared" si="28"/>
        <v>0</v>
      </c>
      <c r="H81" s="10">
        <f t="shared" si="28"/>
        <v>0</v>
      </c>
    </row>
    <row r="82" spans="1:9">
      <c r="A82" s="10">
        <f t="shared" si="12"/>
        <v>0</v>
      </c>
      <c r="B82" s="10">
        <f t="shared" si="22"/>
        <v>0</v>
      </c>
      <c r="C82" s="10">
        <f t="shared" ref="C82:H82" si="29">(B82/B$65)*C$65</f>
        <v>0</v>
      </c>
      <c r="D82" s="10">
        <f t="shared" si="29"/>
        <v>0</v>
      </c>
      <c r="E82" s="10">
        <f t="shared" si="29"/>
        <v>0</v>
      </c>
      <c r="F82" s="10">
        <f t="shared" si="29"/>
        <v>0</v>
      </c>
      <c r="G82" s="10">
        <f t="shared" si="29"/>
        <v>0</v>
      </c>
      <c r="H82" s="10">
        <f t="shared" si="29"/>
        <v>0</v>
      </c>
    </row>
    <row r="83" spans="1:9">
      <c r="A83" s="10">
        <f t="shared" si="12"/>
        <v>0</v>
      </c>
      <c r="B83" s="10">
        <f t="shared" si="22"/>
        <v>0</v>
      </c>
      <c r="C83" s="10">
        <f t="shared" ref="C83:H83" si="30">(B83/B$65)*C$65</f>
        <v>0</v>
      </c>
      <c r="D83" s="10">
        <f t="shared" si="30"/>
        <v>0</v>
      </c>
      <c r="E83" s="10">
        <f t="shared" si="30"/>
        <v>0</v>
      </c>
      <c r="F83" s="10">
        <f t="shared" si="30"/>
        <v>0</v>
      </c>
      <c r="G83" s="10">
        <f t="shared" si="30"/>
        <v>0</v>
      </c>
      <c r="H83" s="10">
        <f t="shared" si="30"/>
        <v>0</v>
      </c>
    </row>
    <row r="84" spans="1:9">
      <c r="A84" s="10" t="str">
        <f t="shared" si="12"/>
        <v>Groundnut</v>
      </c>
      <c r="B84" s="10">
        <f>H33*$B$65</f>
        <v>0</v>
      </c>
      <c r="C84" s="10">
        <f t="shared" ref="C84:H84" si="31">(B84/B$65)*C$65</f>
        <v>0</v>
      </c>
      <c r="D84" s="10">
        <f t="shared" si="31"/>
        <v>0</v>
      </c>
      <c r="E84" s="10">
        <f t="shared" si="31"/>
        <v>0</v>
      </c>
      <c r="F84" s="10">
        <f t="shared" si="31"/>
        <v>0</v>
      </c>
      <c r="G84" s="10">
        <f t="shared" si="31"/>
        <v>0</v>
      </c>
      <c r="H84" s="10">
        <f t="shared" si="31"/>
        <v>0</v>
      </c>
    </row>
    <row r="85" spans="1:9">
      <c r="A85" s="10" t="str">
        <f t="shared" si="12"/>
        <v>Bengal Gram/Channa</v>
      </c>
      <c r="B85" s="10">
        <f>H34*$B$65</f>
        <v>972.99999999999989</v>
      </c>
      <c r="C85" s="10">
        <f t="shared" ref="C85:H85" si="32">(B85/B$65)*C$65</f>
        <v>1000.8</v>
      </c>
      <c r="D85" s="10">
        <f t="shared" si="32"/>
        <v>1028.5999999999999</v>
      </c>
      <c r="E85" s="10">
        <f t="shared" si="32"/>
        <v>1056.4000000000001</v>
      </c>
      <c r="F85" s="10">
        <f t="shared" si="32"/>
        <v>1084.2</v>
      </c>
      <c r="G85" s="10">
        <f t="shared" si="32"/>
        <v>1112</v>
      </c>
      <c r="H85" s="10">
        <f t="shared" si="32"/>
        <v>1139.8</v>
      </c>
    </row>
    <row r="86" spans="1:9">
      <c r="A86" s="10">
        <f t="shared" si="12"/>
        <v>0</v>
      </c>
      <c r="B86" s="10">
        <f>H35*$B$65</f>
        <v>0</v>
      </c>
      <c r="C86" s="10">
        <f t="shared" ref="C86:H86" si="33">(B86/B$65)*C$65</f>
        <v>0</v>
      </c>
      <c r="D86" s="10">
        <f t="shared" si="33"/>
        <v>0</v>
      </c>
      <c r="E86" s="10">
        <f t="shared" si="33"/>
        <v>0</v>
      </c>
      <c r="F86" s="10">
        <f t="shared" si="33"/>
        <v>0</v>
      </c>
      <c r="G86" s="10">
        <f t="shared" si="33"/>
        <v>0</v>
      </c>
      <c r="H86" s="10">
        <f t="shared" si="33"/>
        <v>0</v>
      </c>
    </row>
    <row r="87" spans="1:9">
      <c r="A87" s="10">
        <f t="shared" si="12"/>
        <v>0</v>
      </c>
      <c r="B87" s="10">
        <f>H36*$B$65</f>
        <v>0</v>
      </c>
      <c r="C87" s="10">
        <f t="shared" ref="C87:H87" si="34">(B87/B$65)*C$65</f>
        <v>0</v>
      </c>
      <c r="D87" s="10">
        <f t="shared" si="34"/>
        <v>0</v>
      </c>
      <c r="E87" s="10">
        <f t="shared" si="34"/>
        <v>0</v>
      </c>
      <c r="F87" s="10">
        <f t="shared" si="34"/>
        <v>0</v>
      </c>
      <c r="G87" s="10">
        <f t="shared" si="34"/>
        <v>0</v>
      </c>
      <c r="H87" s="10">
        <f t="shared" si="34"/>
        <v>0</v>
      </c>
    </row>
    <row r="88" spans="1:9">
      <c r="B88" s="266"/>
      <c r="C88" s="266"/>
      <c r="D88" s="266"/>
      <c r="E88" s="266"/>
      <c r="F88" s="266"/>
      <c r="G88" s="266"/>
      <c r="H88" s="266"/>
      <c r="I88" s="266"/>
    </row>
    <row r="89" spans="1:9">
      <c r="A89" s="483" t="s">
        <v>596</v>
      </c>
      <c r="B89" s="484"/>
      <c r="C89" s="484"/>
      <c r="D89" s="484"/>
      <c r="E89" s="484"/>
      <c r="F89" s="484"/>
      <c r="G89" s="484"/>
      <c r="H89" s="485"/>
    </row>
    <row r="90" spans="1:9">
      <c r="A90" s="467" t="s">
        <v>0</v>
      </c>
      <c r="B90" s="311">
        <v>0.65</v>
      </c>
      <c r="C90" s="312">
        <f t="shared" ref="C90:H90" si="35">B90+0.05</f>
        <v>0.70000000000000007</v>
      </c>
      <c r="D90" s="312">
        <f t="shared" si="35"/>
        <v>0.75000000000000011</v>
      </c>
      <c r="E90" s="312">
        <f t="shared" si="35"/>
        <v>0.80000000000000016</v>
      </c>
      <c r="F90" s="312">
        <f t="shared" si="35"/>
        <v>0.8500000000000002</v>
      </c>
      <c r="G90" s="312">
        <f t="shared" si="35"/>
        <v>0.90000000000000024</v>
      </c>
      <c r="H90" s="312">
        <f t="shared" si="35"/>
        <v>0.95000000000000029</v>
      </c>
    </row>
    <row r="91" spans="1:9">
      <c r="A91" s="468"/>
      <c r="B91" s="278" t="s">
        <v>2</v>
      </c>
      <c r="C91" s="278" t="s">
        <v>3</v>
      </c>
      <c r="D91" s="278" t="s">
        <v>4</v>
      </c>
      <c r="E91" s="278" t="s">
        <v>5</v>
      </c>
      <c r="F91" s="278" t="s">
        <v>6</v>
      </c>
      <c r="G91" s="278" t="s">
        <v>171</v>
      </c>
      <c r="H91" s="278" t="s">
        <v>170</v>
      </c>
    </row>
    <row r="92" spans="1:9" s="13" customFormat="1">
      <c r="A92" s="10" t="str">
        <f t="shared" ref="A92:A112" si="36">A67</f>
        <v>Soybean</v>
      </c>
      <c r="B92" s="10">
        <f t="shared" ref="B92:B100" si="37">D14*$B$90</f>
        <v>0</v>
      </c>
      <c r="C92" s="275">
        <f t="shared" ref="C92:H92" si="38">(B92/B$90)*C$90</f>
        <v>0</v>
      </c>
      <c r="D92" s="275">
        <f t="shared" si="38"/>
        <v>0</v>
      </c>
      <c r="E92" s="275">
        <f t="shared" si="38"/>
        <v>0</v>
      </c>
      <c r="F92" s="275">
        <f t="shared" si="38"/>
        <v>0</v>
      </c>
      <c r="G92" s="275">
        <f t="shared" si="38"/>
        <v>0</v>
      </c>
      <c r="H92" s="275">
        <f t="shared" si="38"/>
        <v>0</v>
      </c>
    </row>
    <row r="93" spans="1:9">
      <c r="A93" s="10" t="str">
        <f t="shared" si="36"/>
        <v>Red Gram/Tur</v>
      </c>
      <c r="B93" s="10">
        <f>D15*$B$90*0</f>
        <v>0</v>
      </c>
      <c r="C93" s="275">
        <f t="shared" ref="C93:C113" si="39">(B93/B$90)*C$90</f>
        <v>0</v>
      </c>
      <c r="D93" s="275">
        <f>(C93/C90)*D90</f>
        <v>0</v>
      </c>
      <c r="E93" s="275">
        <f>(D93/D90)*E90</f>
        <v>0</v>
      </c>
      <c r="F93" s="275">
        <f>(E93/E90)*F90</f>
        <v>0</v>
      </c>
      <c r="G93" s="275">
        <f>(F93/F90)*G90</f>
        <v>0</v>
      </c>
      <c r="H93" s="275">
        <f>(G93/G90)*H90</f>
        <v>0</v>
      </c>
    </row>
    <row r="94" spans="1:9">
      <c r="A94" s="10" t="str">
        <f t="shared" si="36"/>
        <v>Paddy/Rice</v>
      </c>
      <c r="B94" s="10">
        <f t="shared" si="37"/>
        <v>0</v>
      </c>
      <c r="C94" s="275">
        <f t="shared" si="39"/>
        <v>0</v>
      </c>
      <c r="D94" s="275">
        <f t="shared" ref="D94:H103" si="40">(C94/C$90)*D$90</f>
        <v>0</v>
      </c>
      <c r="E94" s="275">
        <f t="shared" si="40"/>
        <v>0</v>
      </c>
      <c r="F94" s="275">
        <f t="shared" si="40"/>
        <v>0</v>
      </c>
      <c r="G94" s="275">
        <f t="shared" si="40"/>
        <v>0</v>
      </c>
      <c r="H94" s="275">
        <f t="shared" si="40"/>
        <v>0</v>
      </c>
    </row>
    <row r="95" spans="1:9">
      <c r="A95" s="10" t="str">
        <f t="shared" si="36"/>
        <v>Green Gram/ Moong</v>
      </c>
      <c r="B95" s="10">
        <f>D17*$B$90*0</f>
        <v>0</v>
      </c>
      <c r="C95" s="275">
        <f t="shared" si="39"/>
        <v>0</v>
      </c>
      <c r="D95" s="275">
        <f t="shared" si="40"/>
        <v>0</v>
      </c>
      <c r="E95" s="275">
        <f t="shared" si="40"/>
        <v>0</v>
      </c>
      <c r="F95" s="275">
        <f t="shared" si="40"/>
        <v>0</v>
      </c>
      <c r="G95" s="275">
        <f t="shared" si="40"/>
        <v>0</v>
      </c>
      <c r="H95" s="275">
        <f t="shared" si="40"/>
        <v>0</v>
      </c>
    </row>
    <row r="96" spans="1:9">
      <c r="A96" s="10" t="str">
        <f t="shared" si="36"/>
        <v>Maize</v>
      </c>
      <c r="B96" s="275">
        <f t="shared" si="37"/>
        <v>0</v>
      </c>
      <c r="C96" s="275">
        <f t="shared" si="39"/>
        <v>0</v>
      </c>
      <c r="D96" s="275">
        <f t="shared" si="40"/>
        <v>0</v>
      </c>
      <c r="E96" s="275">
        <f t="shared" si="40"/>
        <v>0</v>
      </c>
      <c r="F96" s="275">
        <f t="shared" si="40"/>
        <v>0</v>
      </c>
      <c r="G96" s="275">
        <f t="shared" si="40"/>
        <v>0</v>
      </c>
      <c r="H96" s="275">
        <f t="shared" si="40"/>
        <v>0</v>
      </c>
    </row>
    <row r="97" spans="1:8">
      <c r="A97" s="10" t="str">
        <f t="shared" si="36"/>
        <v>Black Gram/Udid</v>
      </c>
      <c r="B97" s="10">
        <f>D19*$B$90*0</f>
        <v>0</v>
      </c>
      <c r="C97" s="275">
        <f t="shared" si="39"/>
        <v>0</v>
      </c>
      <c r="D97" s="275">
        <f t="shared" si="40"/>
        <v>0</v>
      </c>
      <c r="E97" s="275">
        <f t="shared" si="40"/>
        <v>0</v>
      </c>
      <c r="F97" s="275">
        <f t="shared" si="40"/>
        <v>0</v>
      </c>
      <c r="G97" s="275">
        <f t="shared" si="40"/>
        <v>0</v>
      </c>
      <c r="H97" s="275">
        <f t="shared" si="40"/>
        <v>0</v>
      </c>
    </row>
    <row r="98" spans="1:8">
      <c r="A98" s="10" t="str">
        <f t="shared" si="36"/>
        <v>Bajra</v>
      </c>
      <c r="B98" s="10">
        <f t="shared" si="37"/>
        <v>0</v>
      </c>
      <c r="C98" s="275">
        <f t="shared" si="39"/>
        <v>0</v>
      </c>
      <c r="D98" s="275">
        <f t="shared" si="40"/>
        <v>0</v>
      </c>
      <c r="E98" s="275">
        <f t="shared" si="40"/>
        <v>0</v>
      </c>
      <c r="F98" s="275">
        <f t="shared" si="40"/>
        <v>0</v>
      </c>
      <c r="G98" s="275">
        <f t="shared" si="40"/>
        <v>0</v>
      </c>
      <c r="H98" s="275">
        <f t="shared" si="40"/>
        <v>0</v>
      </c>
    </row>
    <row r="99" spans="1:8">
      <c r="A99" s="10" t="str">
        <f t="shared" si="36"/>
        <v>Bengal Gram/Channa</v>
      </c>
      <c r="B99" s="10">
        <f>D21*$B$90*0</f>
        <v>0</v>
      </c>
      <c r="C99" s="275">
        <f t="shared" si="39"/>
        <v>0</v>
      </c>
      <c r="D99" s="275">
        <f t="shared" si="40"/>
        <v>0</v>
      </c>
      <c r="E99" s="275">
        <f t="shared" si="40"/>
        <v>0</v>
      </c>
      <c r="F99" s="275">
        <f t="shared" si="40"/>
        <v>0</v>
      </c>
      <c r="G99" s="275">
        <f t="shared" si="40"/>
        <v>0</v>
      </c>
      <c r="H99" s="275">
        <f t="shared" si="40"/>
        <v>0</v>
      </c>
    </row>
    <row r="100" spans="1:8">
      <c r="A100" s="10" t="str">
        <f t="shared" si="36"/>
        <v>Sunflower</v>
      </c>
      <c r="B100" s="10">
        <f t="shared" si="37"/>
        <v>0</v>
      </c>
      <c r="C100" s="275">
        <f t="shared" si="39"/>
        <v>0</v>
      </c>
      <c r="D100" s="275">
        <f t="shared" si="40"/>
        <v>0</v>
      </c>
      <c r="E100" s="275">
        <f t="shared" si="40"/>
        <v>0</v>
      </c>
      <c r="F100" s="275">
        <f t="shared" si="40"/>
        <v>0</v>
      </c>
      <c r="G100" s="275">
        <f t="shared" si="40"/>
        <v>0</v>
      </c>
      <c r="H100" s="275">
        <f t="shared" si="40"/>
        <v>0</v>
      </c>
    </row>
    <row r="101" spans="1:8">
      <c r="A101" s="10" t="str">
        <f t="shared" si="36"/>
        <v>Wheat</v>
      </c>
      <c r="B101" s="10">
        <f t="shared" ref="B101:B108" si="41">D24*$B$90</f>
        <v>0</v>
      </c>
      <c r="C101" s="275">
        <f t="shared" si="39"/>
        <v>0</v>
      </c>
      <c r="D101" s="275">
        <f t="shared" si="40"/>
        <v>0</v>
      </c>
      <c r="E101" s="275">
        <f t="shared" si="40"/>
        <v>0</v>
      </c>
      <c r="F101" s="275">
        <f t="shared" si="40"/>
        <v>0</v>
      </c>
      <c r="G101" s="275">
        <f t="shared" si="40"/>
        <v>0</v>
      </c>
      <c r="H101" s="275">
        <f t="shared" si="40"/>
        <v>0</v>
      </c>
    </row>
    <row r="102" spans="1:8">
      <c r="A102" s="10" t="str">
        <f t="shared" si="36"/>
        <v>Bengal Gram/Channa</v>
      </c>
      <c r="B102" s="10">
        <f>D25*$B$90*0</f>
        <v>0</v>
      </c>
      <c r="C102" s="275">
        <f t="shared" si="39"/>
        <v>0</v>
      </c>
      <c r="D102" s="275">
        <f t="shared" si="40"/>
        <v>0</v>
      </c>
      <c r="E102" s="275">
        <f t="shared" si="40"/>
        <v>0</v>
      </c>
      <c r="F102" s="275">
        <f t="shared" si="40"/>
        <v>0</v>
      </c>
      <c r="G102" s="275">
        <f t="shared" si="40"/>
        <v>0</v>
      </c>
      <c r="H102" s="275">
        <f t="shared" si="40"/>
        <v>0</v>
      </c>
    </row>
    <row r="103" spans="1:8">
      <c r="A103" s="10" t="str">
        <f t="shared" si="36"/>
        <v>Jawar</v>
      </c>
      <c r="B103" s="10">
        <f t="shared" si="41"/>
        <v>0</v>
      </c>
      <c r="C103" s="275">
        <f t="shared" si="39"/>
        <v>0</v>
      </c>
      <c r="D103" s="275">
        <f t="shared" si="40"/>
        <v>0</v>
      </c>
      <c r="E103" s="275">
        <f t="shared" si="40"/>
        <v>0</v>
      </c>
      <c r="F103" s="275">
        <f t="shared" si="40"/>
        <v>0</v>
      </c>
      <c r="G103" s="275">
        <f t="shared" si="40"/>
        <v>0</v>
      </c>
      <c r="H103" s="275">
        <f t="shared" si="40"/>
        <v>0</v>
      </c>
    </row>
    <row r="104" spans="1:8">
      <c r="A104" s="10" t="str">
        <f t="shared" si="36"/>
        <v>Maize</v>
      </c>
      <c r="B104" s="10">
        <f t="shared" si="41"/>
        <v>0</v>
      </c>
      <c r="C104" s="275">
        <f t="shared" si="39"/>
        <v>0</v>
      </c>
      <c r="D104" s="275">
        <f t="shared" ref="D104:H113" si="42">(C104/C$90)*D$90</f>
        <v>0</v>
      </c>
      <c r="E104" s="275">
        <f t="shared" si="42"/>
        <v>0</v>
      </c>
      <c r="F104" s="275">
        <f t="shared" si="42"/>
        <v>0</v>
      </c>
      <c r="G104" s="275">
        <f t="shared" si="42"/>
        <v>0</v>
      </c>
      <c r="H104" s="275">
        <f t="shared" si="42"/>
        <v>0</v>
      </c>
    </row>
    <row r="105" spans="1:8">
      <c r="A105" s="10" t="str">
        <f t="shared" si="36"/>
        <v>Safflower</v>
      </c>
      <c r="B105" s="10">
        <f t="shared" si="41"/>
        <v>0</v>
      </c>
      <c r="C105" s="275">
        <f t="shared" si="39"/>
        <v>0</v>
      </c>
      <c r="D105" s="275">
        <f t="shared" si="42"/>
        <v>0</v>
      </c>
      <c r="E105" s="275">
        <f t="shared" si="42"/>
        <v>0</v>
      </c>
      <c r="F105" s="275">
        <f t="shared" si="42"/>
        <v>0</v>
      </c>
      <c r="G105" s="275">
        <f t="shared" si="42"/>
        <v>0</v>
      </c>
      <c r="H105" s="275">
        <f t="shared" si="42"/>
        <v>0</v>
      </c>
    </row>
    <row r="106" spans="1:8">
      <c r="A106" s="10">
        <f t="shared" si="36"/>
        <v>0</v>
      </c>
      <c r="B106" s="10">
        <f t="shared" si="41"/>
        <v>0</v>
      </c>
      <c r="C106" s="275">
        <f t="shared" si="39"/>
        <v>0</v>
      </c>
      <c r="D106" s="275">
        <f t="shared" si="42"/>
        <v>0</v>
      </c>
      <c r="E106" s="275">
        <f t="shared" si="42"/>
        <v>0</v>
      </c>
      <c r="F106" s="275">
        <f t="shared" si="42"/>
        <v>0</v>
      </c>
      <c r="G106" s="275">
        <f t="shared" si="42"/>
        <v>0</v>
      </c>
      <c r="H106" s="275">
        <f t="shared" si="42"/>
        <v>0</v>
      </c>
    </row>
    <row r="107" spans="1:8">
      <c r="A107" s="10">
        <f t="shared" si="36"/>
        <v>0</v>
      </c>
      <c r="B107" s="10">
        <f t="shared" si="41"/>
        <v>0</v>
      </c>
      <c r="C107" s="275">
        <f t="shared" si="39"/>
        <v>0</v>
      </c>
      <c r="D107" s="275">
        <f t="shared" si="42"/>
        <v>0</v>
      </c>
      <c r="E107" s="275">
        <f t="shared" si="42"/>
        <v>0</v>
      </c>
      <c r="F107" s="275">
        <f t="shared" si="42"/>
        <v>0</v>
      </c>
      <c r="G107" s="275">
        <f t="shared" si="42"/>
        <v>0</v>
      </c>
      <c r="H107" s="275">
        <f t="shared" si="42"/>
        <v>0</v>
      </c>
    </row>
    <row r="108" spans="1:8">
      <c r="A108" s="10">
        <f t="shared" si="36"/>
        <v>0</v>
      </c>
      <c r="B108" s="10">
        <f t="shared" si="41"/>
        <v>0</v>
      </c>
      <c r="C108" s="275">
        <f t="shared" si="39"/>
        <v>0</v>
      </c>
      <c r="D108" s="275">
        <f t="shared" si="42"/>
        <v>0</v>
      </c>
      <c r="E108" s="275">
        <f t="shared" si="42"/>
        <v>0</v>
      </c>
      <c r="F108" s="275">
        <f t="shared" si="42"/>
        <v>0</v>
      </c>
      <c r="G108" s="275">
        <f t="shared" si="42"/>
        <v>0</v>
      </c>
      <c r="H108" s="275">
        <f t="shared" si="42"/>
        <v>0</v>
      </c>
    </row>
    <row r="109" spans="1:8">
      <c r="A109" s="10" t="str">
        <f t="shared" si="36"/>
        <v>Groundnut</v>
      </c>
      <c r="B109" s="10">
        <f>D33*$B$90</f>
        <v>0</v>
      </c>
      <c r="C109" s="275">
        <f t="shared" si="39"/>
        <v>0</v>
      </c>
      <c r="D109" s="275">
        <f t="shared" si="42"/>
        <v>0</v>
      </c>
      <c r="E109" s="275">
        <f t="shared" si="42"/>
        <v>0</v>
      </c>
      <c r="F109" s="275">
        <f t="shared" si="42"/>
        <v>0</v>
      </c>
      <c r="G109" s="275">
        <f t="shared" si="42"/>
        <v>0</v>
      </c>
      <c r="H109" s="275">
        <f t="shared" si="42"/>
        <v>0</v>
      </c>
    </row>
    <row r="110" spans="1:8">
      <c r="A110" s="10" t="str">
        <f t="shared" si="36"/>
        <v>Bengal Gram/Channa</v>
      </c>
      <c r="B110" s="10">
        <f>D34*$B$90*0</f>
        <v>0</v>
      </c>
      <c r="C110" s="275">
        <f t="shared" si="39"/>
        <v>0</v>
      </c>
      <c r="D110" s="275">
        <f t="shared" si="42"/>
        <v>0</v>
      </c>
      <c r="E110" s="275">
        <f t="shared" si="42"/>
        <v>0</v>
      </c>
      <c r="F110" s="275">
        <f t="shared" si="42"/>
        <v>0</v>
      </c>
      <c r="G110" s="275">
        <f t="shared" si="42"/>
        <v>0</v>
      </c>
      <c r="H110" s="275">
        <f t="shared" si="42"/>
        <v>0</v>
      </c>
    </row>
    <row r="111" spans="1:8">
      <c r="A111" s="10">
        <f t="shared" si="36"/>
        <v>0</v>
      </c>
      <c r="B111" s="10">
        <f>D34*$B$90*0</f>
        <v>0</v>
      </c>
      <c r="C111" s="275">
        <f t="shared" si="39"/>
        <v>0</v>
      </c>
      <c r="D111" s="275">
        <f t="shared" si="42"/>
        <v>0</v>
      </c>
      <c r="E111" s="275">
        <f t="shared" si="42"/>
        <v>0</v>
      </c>
      <c r="F111" s="275">
        <f t="shared" si="42"/>
        <v>0</v>
      </c>
      <c r="G111" s="275">
        <f t="shared" si="42"/>
        <v>0</v>
      </c>
      <c r="H111" s="275">
        <f t="shared" si="42"/>
        <v>0</v>
      </c>
    </row>
    <row r="112" spans="1:8">
      <c r="A112" s="10">
        <f t="shared" si="36"/>
        <v>0</v>
      </c>
      <c r="B112" s="10">
        <f>D36*$B$90</f>
        <v>0</v>
      </c>
      <c r="C112" s="275">
        <f t="shared" si="39"/>
        <v>0</v>
      </c>
      <c r="D112" s="275">
        <f t="shared" si="42"/>
        <v>0</v>
      </c>
      <c r="E112" s="275">
        <f t="shared" si="42"/>
        <v>0</v>
      </c>
      <c r="F112" s="275">
        <f t="shared" si="42"/>
        <v>0</v>
      </c>
      <c r="G112" s="275">
        <f t="shared" si="42"/>
        <v>0</v>
      </c>
      <c r="H112" s="275">
        <f t="shared" si="42"/>
        <v>0</v>
      </c>
    </row>
    <row r="113" spans="1:9">
      <c r="A113" s="10"/>
      <c r="B113" s="10">
        <f>D37*$B$90</f>
        <v>0</v>
      </c>
      <c r="C113" s="275">
        <f t="shared" si="39"/>
        <v>0</v>
      </c>
      <c r="D113" s="275">
        <f t="shared" si="42"/>
        <v>0</v>
      </c>
      <c r="E113" s="275">
        <f t="shared" si="42"/>
        <v>0</v>
      </c>
      <c r="F113" s="275">
        <f t="shared" si="42"/>
        <v>0</v>
      </c>
      <c r="G113" s="275">
        <f t="shared" si="42"/>
        <v>0</v>
      </c>
      <c r="H113" s="275">
        <f t="shared" si="42"/>
        <v>0</v>
      </c>
    </row>
    <row r="115" spans="1:9">
      <c r="C115" s="4"/>
      <c r="D115" s="6"/>
      <c r="E115" s="6"/>
      <c r="F115" s="6"/>
      <c r="G115" s="6"/>
      <c r="H115" s="6"/>
      <c r="I115" s="6"/>
    </row>
    <row r="116" spans="1:9">
      <c r="A116" t="s">
        <v>564</v>
      </c>
      <c r="C116" s="276"/>
      <c r="D116" s="276"/>
      <c r="E116" s="276"/>
      <c r="F116" s="276"/>
      <c r="G116" s="276"/>
      <c r="H116" s="276"/>
      <c r="I116" s="276"/>
    </row>
    <row r="117" spans="1:9">
      <c r="A117">
        <v>1</v>
      </c>
      <c r="B117" t="s">
        <v>619</v>
      </c>
    </row>
    <row r="118" spans="1:9">
      <c r="A118">
        <v>2</v>
      </c>
      <c r="B118" t="s">
        <v>620</v>
      </c>
    </row>
    <row r="119" spans="1:9">
      <c r="A119">
        <v>3</v>
      </c>
      <c r="B119" t="s">
        <v>567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Normal="100" zoomScaleSheetLayoutView="80" workbookViewId="0">
      <selection activeCell="C129" sqref="C129"/>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6" t="s">
        <v>519</v>
      </c>
      <c r="B1" s="416"/>
      <c r="C1" s="416"/>
      <c r="D1" s="416"/>
      <c r="E1" s="416"/>
      <c r="F1" s="416"/>
      <c r="G1" s="416"/>
      <c r="H1" s="416"/>
    </row>
    <row r="2" spans="1:26">
      <c r="B2" s="4"/>
    </row>
    <row r="3" spans="1:26" ht="17.5">
      <c r="A3" s="466" t="s">
        <v>597</v>
      </c>
      <c r="B3" s="466"/>
    </row>
    <row r="4" spans="1:26">
      <c r="A4" s="260" t="s">
        <v>0</v>
      </c>
      <c r="B4" s="278" t="s">
        <v>401</v>
      </c>
      <c r="C4" s="279"/>
      <c r="D4" s="279"/>
      <c r="E4" s="279"/>
      <c r="F4" s="279"/>
      <c r="G4" s="279"/>
      <c r="H4" s="279"/>
    </row>
    <row r="5" spans="1:26">
      <c r="A5" s="10" t="s">
        <v>512</v>
      </c>
      <c r="B5" s="256"/>
      <c r="C5" s="280"/>
      <c r="D5" s="281"/>
      <c r="E5" s="281"/>
      <c r="F5" s="281"/>
      <c r="G5" s="281"/>
      <c r="H5" s="281"/>
    </row>
    <row r="6" spans="1:26">
      <c r="A6" s="10" t="s">
        <v>513</v>
      </c>
      <c r="B6" s="256"/>
      <c r="C6" s="280"/>
      <c r="D6" s="281"/>
      <c r="E6" s="281"/>
      <c r="F6" s="281"/>
      <c r="G6" s="281"/>
      <c r="H6" s="281"/>
    </row>
    <row r="7" spans="1:26">
      <c r="A7" s="2" t="s">
        <v>1</v>
      </c>
      <c r="B7" s="303">
        <f>B5+B6</f>
        <v>0</v>
      </c>
      <c r="C7" s="282"/>
      <c r="D7" s="283"/>
      <c r="E7" s="283"/>
      <c r="F7" s="283"/>
      <c r="G7" s="283"/>
      <c r="H7" s="283"/>
    </row>
    <row r="8" spans="1:26">
      <c r="A8" s="2" t="s">
        <v>514</v>
      </c>
      <c r="B8" s="302">
        <v>1</v>
      </c>
      <c r="C8" s="282"/>
      <c r="D8" s="282"/>
      <c r="E8" s="282"/>
      <c r="F8" s="282"/>
      <c r="G8" s="282"/>
      <c r="H8" s="282"/>
    </row>
    <row r="9" spans="1:26">
      <c r="A9" s="2" t="s">
        <v>515</v>
      </c>
      <c r="B9" s="303">
        <f>B7*B8</f>
        <v>0</v>
      </c>
      <c r="C9" s="283"/>
      <c r="D9" s="283"/>
      <c r="E9" s="283"/>
      <c r="F9" s="283"/>
      <c r="G9" s="283"/>
      <c r="H9" s="283"/>
    </row>
    <row r="10" spans="1:26">
      <c r="J10" t="s">
        <v>471</v>
      </c>
      <c r="O10" t="s">
        <v>467</v>
      </c>
      <c r="U10" t="s">
        <v>468</v>
      </c>
      <c r="Y10" t="s">
        <v>469</v>
      </c>
      <c r="Z10" t="s">
        <v>470</v>
      </c>
    </row>
    <row r="11" spans="1:26" ht="17.5">
      <c r="A11" s="416" t="s">
        <v>598</v>
      </c>
      <c r="B11" s="416"/>
      <c r="C11" s="416"/>
      <c r="D11" s="416"/>
      <c r="E11" s="416"/>
      <c r="F11" s="416"/>
      <c r="G11" s="416"/>
      <c r="H11" s="416"/>
      <c r="I11" s="255"/>
      <c r="J11" s="255"/>
      <c r="K11" s="255"/>
      <c r="L11" s="255"/>
      <c r="M11" s="255"/>
      <c r="N11" s="255"/>
      <c r="O11" s="255"/>
      <c r="P11" s="255"/>
    </row>
    <row r="12" spans="1:26">
      <c r="J12" s="3">
        <v>0.65</v>
      </c>
      <c r="K12" s="274">
        <f>J12+0.05</f>
        <v>0.70000000000000007</v>
      </c>
      <c r="L12" s="274">
        <f>K12+0.05</f>
        <v>0.75000000000000011</v>
      </c>
      <c r="M12" s="274">
        <f>L12+0.05</f>
        <v>0.80000000000000016</v>
      </c>
      <c r="N12" s="274">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29">
      <c r="A13" s="260" t="s">
        <v>405</v>
      </c>
      <c r="B13" s="260" t="s">
        <v>406</v>
      </c>
      <c r="C13" s="261" t="s">
        <v>464</v>
      </c>
      <c r="D13" s="261" t="s">
        <v>472</v>
      </c>
      <c r="E13" s="261" t="s">
        <v>473</v>
      </c>
      <c r="F13" s="261" t="s">
        <v>407</v>
      </c>
      <c r="G13" s="261" t="s">
        <v>667</v>
      </c>
      <c r="H13" s="261" t="s">
        <v>408</v>
      </c>
      <c r="O13" s="273" t="s">
        <v>2</v>
      </c>
      <c r="P13" s="273" t="s">
        <v>3</v>
      </c>
      <c r="Q13" s="273" t="s">
        <v>4</v>
      </c>
      <c r="R13" s="273" t="s">
        <v>5</v>
      </c>
      <c r="S13" s="273" t="s">
        <v>6</v>
      </c>
      <c r="T13" s="273" t="s">
        <v>2</v>
      </c>
      <c r="U13" s="273" t="s">
        <v>3</v>
      </c>
      <c r="V13" s="273" t="s">
        <v>4</v>
      </c>
      <c r="W13" s="273" t="s">
        <v>5</v>
      </c>
      <c r="X13" s="273" t="s">
        <v>6</v>
      </c>
    </row>
    <row r="14" spans="1:26">
      <c r="A14" s="470" t="s">
        <v>409</v>
      </c>
      <c r="B14" s="256" t="s">
        <v>502</v>
      </c>
      <c r="C14" s="271">
        <v>0</v>
      </c>
      <c r="D14" s="10">
        <f t="shared" ref="D14:D40" si="0">$B$9*C14</f>
        <v>0</v>
      </c>
      <c r="E14" s="257">
        <v>15</v>
      </c>
      <c r="F14" s="10">
        <f>D14*E14</f>
        <v>0</v>
      </c>
      <c r="G14" s="272">
        <v>0.1</v>
      </c>
      <c r="H14" s="10">
        <f>(F14-F14*G14)</f>
        <v>0</v>
      </c>
      <c r="J14">
        <f>$D$14*J12</f>
        <v>0</v>
      </c>
      <c r="K14">
        <f>$D$14*K12</f>
        <v>0</v>
      </c>
      <c r="L14">
        <f>$D$14*L12</f>
        <v>0</v>
      </c>
      <c r="M14">
        <f>$D$14*M12</f>
        <v>0</v>
      </c>
      <c r="N14">
        <f>$D$14*N12</f>
        <v>0</v>
      </c>
    </row>
    <row r="15" spans="1:26">
      <c r="A15" s="471"/>
      <c r="B15" s="256" t="s">
        <v>503</v>
      </c>
      <c r="C15" s="271">
        <v>0</v>
      </c>
      <c r="D15" s="10">
        <f t="shared" si="0"/>
        <v>0</v>
      </c>
      <c r="E15" s="257">
        <v>7</v>
      </c>
      <c r="F15" s="10">
        <f t="shared" ref="F15:F40" si="1">D15*E15</f>
        <v>0</v>
      </c>
      <c r="G15" s="272">
        <v>0.05</v>
      </c>
      <c r="H15" s="10">
        <f>(F15-F15*G15)</f>
        <v>0</v>
      </c>
    </row>
    <row r="16" spans="1:26">
      <c r="A16" s="471"/>
      <c r="B16" s="256" t="s">
        <v>504</v>
      </c>
      <c r="C16" s="271">
        <v>0</v>
      </c>
      <c r="D16" s="10">
        <f t="shared" si="0"/>
        <v>0</v>
      </c>
      <c r="E16" s="257">
        <v>4</v>
      </c>
      <c r="F16" s="10">
        <f t="shared" si="1"/>
        <v>0</v>
      </c>
      <c r="G16" s="272">
        <v>0</v>
      </c>
      <c r="H16" s="10">
        <f t="shared" ref="H16:H40" si="2">(F16-F16*G16)</f>
        <v>0</v>
      </c>
    </row>
    <row r="17" spans="1:8">
      <c r="A17" s="471"/>
      <c r="B17" s="256" t="s">
        <v>505</v>
      </c>
      <c r="C17" s="271">
        <v>0</v>
      </c>
      <c r="D17" s="10">
        <f t="shared" si="0"/>
        <v>0</v>
      </c>
      <c r="E17" s="257">
        <v>7</v>
      </c>
      <c r="F17" s="10">
        <f t="shared" si="1"/>
        <v>0</v>
      </c>
      <c r="G17" s="272">
        <v>0.02</v>
      </c>
      <c r="H17" s="10">
        <f t="shared" si="2"/>
        <v>0</v>
      </c>
    </row>
    <row r="18" spans="1:8">
      <c r="A18" s="471"/>
      <c r="B18" s="256" t="s">
        <v>507</v>
      </c>
      <c r="C18" s="271">
        <v>0</v>
      </c>
      <c r="D18" s="10">
        <f t="shared" si="0"/>
        <v>0</v>
      </c>
      <c r="E18" s="257">
        <v>20</v>
      </c>
      <c r="F18" s="10">
        <f t="shared" si="1"/>
        <v>0</v>
      </c>
      <c r="G18" s="272">
        <v>0</v>
      </c>
      <c r="H18" s="10">
        <f t="shared" si="2"/>
        <v>0</v>
      </c>
    </row>
    <row r="19" spans="1:8">
      <c r="A19" s="471"/>
      <c r="B19" s="256"/>
      <c r="C19" s="271">
        <v>0</v>
      </c>
      <c r="D19" s="10">
        <f t="shared" si="0"/>
        <v>0</v>
      </c>
      <c r="E19" s="257">
        <v>7</v>
      </c>
      <c r="F19" s="10">
        <f t="shared" si="1"/>
        <v>0</v>
      </c>
      <c r="G19" s="272">
        <v>0.1</v>
      </c>
      <c r="H19" s="10">
        <f t="shared" si="2"/>
        <v>0</v>
      </c>
    </row>
    <row r="20" spans="1:8">
      <c r="A20" s="471"/>
      <c r="B20" s="256"/>
      <c r="C20" s="271">
        <v>0</v>
      </c>
      <c r="D20" s="10">
        <f t="shared" si="0"/>
        <v>0</v>
      </c>
      <c r="E20" s="257">
        <v>6</v>
      </c>
      <c r="F20" s="10">
        <f t="shared" si="1"/>
        <v>0</v>
      </c>
      <c r="G20" s="272">
        <v>0.02</v>
      </c>
      <c r="H20" s="10">
        <f t="shared" si="2"/>
        <v>0</v>
      </c>
    </row>
    <row r="21" spans="1:8">
      <c r="A21" s="471"/>
      <c r="B21" s="256"/>
      <c r="C21" s="271">
        <v>0</v>
      </c>
      <c r="D21" s="10">
        <f t="shared" si="0"/>
        <v>0</v>
      </c>
      <c r="E21" s="257"/>
      <c r="F21" s="10">
        <f t="shared" si="1"/>
        <v>0</v>
      </c>
      <c r="G21" s="272">
        <v>0</v>
      </c>
      <c r="H21" s="10">
        <f t="shared" si="2"/>
        <v>0</v>
      </c>
    </row>
    <row r="22" spans="1:8">
      <c r="A22" s="472"/>
      <c r="B22" s="256"/>
      <c r="C22" s="271">
        <v>0</v>
      </c>
      <c r="D22" s="10">
        <f t="shared" si="0"/>
        <v>0</v>
      </c>
      <c r="E22" s="257"/>
      <c r="F22" s="10">
        <f t="shared" si="1"/>
        <v>0</v>
      </c>
      <c r="G22" s="272">
        <v>0</v>
      </c>
      <c r="H22" s="10">
        <f t="shared" si="2"/>
        <v>0</v>
      </c>
    </row>
    <row r="23" spans="1:8">
      <c r="A23" s="301" t="s">
        <v>520</v>
      </c>
      <c r="B23" s="295"/>
      <c r="C23" s="296">
        <f>B9*B23</f>
        <v>0</v>
      </c>
      <c r="D23" s="10"/>
      <c r="E23" s="257"/>
      <c r="F23" s="10"/>
      <c r="G23" s="272"/>
      <c r="H23" s="10"/>
    </row>
    <row r="24" spans="1:8">
      <c r="A24" s="470" t="s">
        <v>411</v>
      </c>
      <c r="B24" s="256" t="s">
        <v>502</v>
      </c>
      <c r="C24" s="271">
        <v>0</v>
      </c>
      <c r="D24" s="10">
        <f t="shared" ref="D24:D31" si="3">C$23*C24</f>
        <v>0</v>
      </c>
      <c r="E24" s="257">
        <v>10</v>
      </c>
      <c r="F24" s="10">
        <f t="shared" si="1"/>
        <v>0</v>
      </c>
      <c r="G24" s="272">
        <v>0.1</v>
      </c>
      <c r="H24" s="10">
        <f t="shared" si="2"/>
        <v>0</v>
      </c>
    </row>
    <row r="25" spans="1:8">
      <c r="A25" s="471"/>
      <c r="B25" s="256" t="s">
        <v>503</v>
      </c>
      <c r="C25" s="271">
        <v>0</v>
      </c>
      <c r="D25" s="10">
        <f t="shared" si="3"/>
        <v>0</v>
      </c>
      <c r="E25" s="257">
        <v>10</v>
      </c>
      <c r="F25" s="10">
        <f t="shared" si="1"/>
        <v>0</v>
      </c>
      <c r="G25" s="272">
        <v>0.1</v>
      </c>
      <c r="H25" s="10">
        <f t="shared" si="2"/>
        <v>0</v>
      </c>
    </row>
    <row r="26" spans="1:8">
      <c r="A26" s="471"/>
      <c r="B26" s="256" t="s">
        <v>504</v>
      </c>
      <c r="C26" s="271">
        <v>0</v>
      </c>
      <c r="D26" s="10">
        <f t="shared" si="3"/>
        <v>0</v>
      </c>
      <c r="E26" s="257">
        <v>10</v>
      </c>
      <c r="F26" s="10">
        <f t="shared" si="1"/>
        <v>0</v>
      </c>
      <c r="G26" s="272">
        <v>0.05</v>
      </c>
      <c r="H26" s="10">
        <f t="shared" si="2"/>
        <v>0</v>
      </c>
    </row>
    <row r="27" spans="1:8">
      <c r="A27" s="471"/>
      <c r="B27" s="256" t="s">
        <v>505</v>
      </c>
      <c r="C27" s="271">
        <v>0</v>
      </c>
      <c r="D27" s="10">
        <f t="shared" si="3"/>
        <v>0</v>
      </c>
      <c r="E27" s="257">
        <v>20</v>
      </c>
      <c r="F27" s="10">
        <f t="shared" si="1"/>
        <v>0</v>
      </c>
      <c r="G27" s="272">
        <v>0</v>
      </c>
      <c r="H27" s="10">
        <f t="shared" si="2"/>
        <v>0</v>
      </c>
    </row>
    <row r="28" spans="1:8">
      <c r="A28" s="471"/>
      <c r="B28" s="256" t="s">
        <v>506</v>
      </c>
      <c r="C28" s="271">
        <v>0</v>
      </c>
      <c r="D28" s="10">
        <f t="shared" si="3"/>
        <v>0</v>
      </c>
      <c r="E28" s="257"/>
      <c r="F28" s="10">
        <f t="shared" si="1"/>
        <v>0</v>
      </c>
      <c r="G28" s="272">
        <v>0</v>
      </c>
      <c r="H28" s="10">
        <f t="shared" si="2"/>
        <v>0</v>
      </c>
    </row>
    <row r="29" spans="1:8">
      <c r="A29" s="471"/>
      <c r="B29" s="256"/>
      <c r="C29" s="271">
        <v>0</v>
      </c>
      <c r="D29" s="10">
        <f t="shared" si="3"/>
        <v>0</v>
      </c>
      <c r="E29" s="257"/>
      <c r="F29" s="10">
        <f t="shared" si="1"/>
        <v>0</v>
      </c>
      <c r="G29" s="272">
        <v>0</v>
      </c>
      <c r="H29" s="10">
        <f t="shared" si="2"/>
        <v>0</v>
      </c>
    </row>
    <row r="30" spans="1:8">
      <c r="A30" s="471"/>
      <c r="B30" s="256"/>
      <c r="C30" s="271">
        <v>0</v>
      </c>
      <c r="D30" s="10">
        <f t="shared" si="3"/>
        <v>0</v>
      </c>
      <c r="E30" s="257"/>
      <c r="F30" s="10">
        <f t="shared" si="1"/>
        <v>0</v>
      </c>
      <c r="G30" s="272">
        <v>0</v>
      </c>
      <c r="H30" s="10">
        <f t="shared" si="2"/>
        <v>0</v>
      </c>
    </row>
    <row r="31" spans="1:8">
      <c r="A31" s="472"/>
      <c r="B31" s="256"/>
      <c r="C31" s="271">
        <v>0</v>
      </c>
      <c r="D31" s="10">
        <f t="shared" si="3"/>
        <v>0</v>
      </c>
      <c r="E31" s="257"/>
      <c r="F31" s="10">
        <f t="shared" si="1"/>
        <v>0</v>
      </c>
      <c r="G31" s="272">
        <v>0</v>
      </c>
      <c r="H31" s="10">
        <f t="shared" si="2"/>
        <v>0</v>
      </c>
    </row>
    <row r="32" spans="1:8">
      <c r="A32" s="301" t="s">
        <v>521</v>
      </c>
      <c r="B32" s="295"/>
      <c r="C32" s="256">
        <f>B9*B32</f>
        <v>0</v>
      </c>
      <c r="D32" s="10"/>
      <c r="E32" s="257"/>
      <c r="F32" s="10"/>
      <c r="G32" s="272"/>
      <c r="H32" s="10"/>
    </row>
    <row r="33" spans="1:8">
      <c r="A33" s="298" t="s">
        <v>478</v>
      </c>
      <c r="B33" s="256"/>
      <c r="C33" s="271">
        <v>0</v>
      </c>
      <c r="D33" s="10">
        <f>C$32*C33</f>
        <v>0</v>
      </c>
      <c r="E33" s="257"/>
      <c r="F33" s="10">
        <f t="shared" si="1"/>
        <v>0</v>
      </c>
      <c r="G33" s="272">
        <v>0</v>
      </c>
      <c r="H33" s="10">
        <f t="shared" si="2"/>
        <v>0</v>
      </c>
    </row>
    <row r="34" spans="1:8">
      <c r="A34" s="299"/>
      <c r="B34" s="256"/>
      <c r="C34" s="271">
        <v>0</v>
      </c>
      <c r="D34" s="10">
        <f>C$32*C34</f>
        <v>0</v>
      </c>
      <c r="E34" s="257"/>
      <c r="F34" s="10">
        <f t="shared" si="1"/>
        <v>0</v>
      </c>
      <c r="G34" s="272">
        <v>0</v>
      </c>
      <c r="H34" s="10">
        <f t="shared" si="2"/>
        <v>0</v>
      </c>
    </row>
    <row r="35" spans="1:8">
      <c r="A35" s="299"/>
      <c r="B35" s="256"/>
      <c r="C35" s="271">
        <v>0</v>
      </c>
      <c r="D35" s="10">
        <f>C$32*C35</f>
        <v>0</v>
      </c>
      <c r="E35" s="257"/>
      <c r="F35" s="10">
        <f t="shared" si="1"/>
        <v>0</v>
      </c>
      <c r="G35" s="272">
        <v>0</v>
      </c>
      <c r="H35" s="10">
        <f t="shared" si="2"/>
        <v>0</v>
      </c>
    </row>
    <row r="36" spans="1:8">
      <c r="A36" s="300"/>
      <c r="B36" s="256"/>
      <c r="C36" s="271">
        <v>0</v>
      </c>
      <c r="D36" s="10">
        <f>C$32*C36</f>
        <v>0</v>
      </c>
      <c r="E36" s="257"/>
      <c r="F36" s="10">
        <f t="shared" si="1"/>
        <v>0</v>
      </c>
      <c r="G36" s="272">
        <v>0</v>
      </c>
      <c r="H36" s="10">
        <f t="shared" si="2"/>
        <v>0</v>
      </c>
    </row>
    <row r="37" spans="1:8">
      <c r="A37" s="486" t="s">
        <v>522</v>
      </c>
      <c r="B37" s="256" t="s">
        <v>508</v>
      </c>
      <c r="C37" s="271">
        <v>0</v>
      </c>
      <c r="D37" s="10">
        <f t="shared" si="0"/>
        <v>0</v>
      </c>
      <c r="E37" s="257">
        <v>6</v>
      </c>
      <c r="F37" s="10">
        <f t="shared" si="1"/>
        <v>0</v>
      </c>
      <c r="G37" s="272">
        <v>0.05</v>
      </c>
      <c r="H37" s="10">
        <f t="shared" si="2"/>
        <v>0</v>
      </c>
    </row>
    <row r="38" spans="1:8">
      <c r="A38" s="486"/>
      <c r="B38" s="256" t="s">
        <v>509</v>
      </c>
      <c r="C38" s="271">
        <v>0</v>
      </c>
      <c r="D38" s="10">
        <f t="shared" si="0"/>
        <v>0</v>
      </c>
      <c r="E38" s="257"/>
      <c r="F38" s="10">
        <f t="shared" si="1"/>
        <v>0</v>
      </c>
      <c r="G38" s="272">
        <v>0</v>
      </c>
      <c r="H38" s="10">
        <f t="shared" si="2"/>
        <v>0</v>
      </c>
    </row>
    <row r="39" spans="1:8">
      <c r="A39" s="486"/>
      <c r="B39" s="256" t="s">
        <v>510</v>
      </c>
      <c r="C39" s="271">
        <v>0</v>
      </c>
      <c r="D39" s="10">
        <f t="shared" si="0"/>
        <v>0</v>
      </c>
      <c r="E39" s="257"/>
      <c r="F39" s="10">
        <f t="shared" si="1"/>
        <v>0</v>
      </c>
      <c r="G39" s="272">
        <v>0</v>
      </c>
      <c r="H39" s="10">
        <f t="shared" si="2"/>
        <v>0</v>
      </c>
    </row>
    <row r="40" spans="1:8">
      <c r="A40" s="486"/>
      <c r="B40" s="256" t="s">
        <v>511</v>
      </c>
      <c r="C40" s="271">
        <v>0</v>
      </c>
      <c r="D40" s="10">
        <f t="shared" si="0"/>
        <v>0</v>
      </c>
      <c r="E40" s="257"/>
      <c r="F40" s="10">
        <f t="shared" si="1"/>
        <v>0</v>
      </c>
      <c r="G40" s="272">
        <v>0</v>
      </c>
      <c r="H40" s="10">
        <f t="shared" si="2"/>
        <v>0</v>
      </c>
    </row>
    <row r="41" spans="1:8">
      <c r="A41" s="469" t="s">
        <v>415</v>
      </c>
      <c r="B41" s="469"/>
      <c r="C41" s="469"/>
      <c r="D41" s="469"/>
      <c r="E41" s="469"/>
      <c r="F41" s="469"/>
      <c r="G41" s="469"/>
      <c r="H41" s="469"/>
    </row>
    <row r="43" spans="1:8" ht="17.5">
      <c r="A43" s="473" t="s">
        <v>599</v>
      </c>
      <c r="B43" s="474"/>
      <c r="C43" s="474"/>
      <c r="D43" s="474"/>
      <c r="E43" s="474"/>
      <c r="F43" s="474"/>
      <c r="G43" s="474"/>
      <c r="H43" s="475"/>
    </row>
    <row r="44" spans="1:8">
      <c r="A44" s="476" t="s">
        <v>0</v>
      </c>
      <c r="B44" s="287">
        <v>0.35</v>
      </c>
      <c r="C44" s="287">
        <f t="shared" ref="C44:H44" si="4">B44+0.05</f>
        <v>0.39999999999999997</v>
      </c>
      <c r="D44" s="287">
        <f t="shared" si="4"/>
        <v>0.44999999999999996</v>
      </c>
      <c r="E44" s="287">
        <f t="shared" si="4"/>
        <v>0.49999999999999994</v>
      </c>
      <c r="F44" s="287">
        <f t="shared" si="4"/>
        <v>0.54999999999999993</v>
      </c>
      <c r="G44" s="287">
        <f t="shared" si="4"/>
        <v>0.6</v>
      </c>
      <c r="H44" s="287">
        <f t="shared" si="4"/>
        <v>0.65</v>
      </c>
    </row>
    <row r="45" spans="1:8">
      <c r="A45" s="477"/>
      <c r="B45" s="278" t="s">
        <v>2</v>
      </c>
      <c r="C45" s="278" t="s">
        <v>3</v>
      </c>
      <c r="D45" s="278" t="s">
        <v>4</v>
      </c>
      <c r="E45" s="278" t="s">
        <v>5</v>
      </c>
      <c r="F45" s="278" t="s">
        <v>6</v>
      </c>
      <c r="G45" s="278" t="s">
        <v>171</v>
      </c>
      <c r="H45" s="278" t="s">
        <v>170</v>
      </c>
    </row>
    <row r="46" spans="1:8">
      <c r="A46" s="10" t="str">
        <f t="shared" ref="A46:A54" si="5">B14</f>
        <v>Onion</v>
      </c>
      <c r="B46" s="10">
        <f t="shared" ref="B46:B54" si="6">H14*$B$44</f>
        <v>0</v>
      </c>
      <c r="C46" s="10">
        <f t="shared" ref="C46:H61" si="7">(B46/B$44)*C$44</f>
        <v>0</v>
      </c>
      <c r="D46" s="10">
        <f t="shared" si="7"/>
        <v>0</v>
      </c>
      <c r="E46" s="10">
        <f t="shared" si="7"/>
        <v>0</v>
      </c>
      <c r="F46" s="10">
        <f t="shared" si="7"/>
        <v>0</v>
      </c>
      <c r="G46" s="10">
        <f t="shared" si="7"/>
        <v>0</v>
      </c>
      <c r="H46" s="10">
        <f t="shared" si="7"/>
        <v>0</v>
      </c>
    </row>
    <row r="47" spans="1:8">
      <c r="A47" s="10" t="str">
        <f t="shared" si="5"/>
        <v>Tomato</v>
      </c>
      <c r="B47" s="10">
        <f t="shared" si="6"/>
        <v>0</v>
      </c>
      <c r="C47" s="10">
        <f t="shared" si="7"/>
        <v>0</v>
      </c>
      <c r="D47" s="10">
        <f t="shared" si="7"/>
        <v>0</v>
      </c>
      <c r="E47" s="10">
        <f t="shared" si="7"/>
        <v>0</v>
      </c>
      <c r="F47" s="10">
        <f t="shared" si="7"/>
        <v>0</v>
      </c>
      <c r="G47" s="10">
        <f t="shared" si="7"/>
        <v>0</v>
      </c>
      <c r="H47" s="10">
        <f t="shared" si="7"/>
        <v>0</v>
      </c>
    </row>
    <row r="48" spans="1:8">
      <c r="A48" s="10" t="str">
        <f t="shared" si="5"/>
        <v>Okra</v>
      </c>
      <c r="B48" s="10">
        <f t="shared" si="6"/>
        <v>0</v>
      </c>
      <c r="C48" s="10">
        <f t="shared" si="7"/>
        <v>0</v>
      </c>
      <c r="D48" s="10">
        <f t="shared" si="7"/>
        <v>0</v>
      </c>
      <c r="E48" s="10">
        <f t="shared" si="7"/>
        <v>0</v>
      </c>
      <c r="F48" s="10">
        <f t="shared" si="7"/>
        <v>0</v>
      </c>
      <c r="G48" s="10">
        <f t="shared" si="7"/>
        <v>0</v>
      </c>
      <c r="H48" s="10">
        <f t="shared" si="7"/>
        <v>0</v>
      </c>
    </row>
    <row r="49" spans="1:8">
      <c r="A49" s="10" t="str">
        <f t="shared" si="5"/>
        <v>Chilli</v>
      </c>
      <c r="B49" s="10">
        <f t="shared" si="6"/>
        <v>0</v>
      </c>
      <c r="C49" s="10">
        <f t="shared" si="7"/>
        <v>0</v>
      </c>
      <c r="D49" s="10">
        <f t="shared" si="7"/>
        <v>0</v>
      </c>
      <c r="E49" s="10">
        <f t="shared" si="7"/>
        <v>0</v>
      </c>
      <c r="F49" s="10">
        <f t="shared" si="7"/>
        <v>0</v>
      </c>
      <c r="G49" s="10">
        <f t="shared" si="7"/>
        <v>0</v>
      </c>
      <c r="H49" s="10">
        <f t="shared" si="7"/>
        <v>0</v>
      </c>
    </row>
    <row r="50" spans="1:8">
      <c r="A50" s="10" t="str">
        <f t="shared" si="5"/>
        <v>Potato</v>
      </c>
      <c r="B50" s="10">
        <f t="shared" si="6"/>
        <v>0</v>
      </c>
      <c r="C50" s="10">
        <f t="shared" si="7"/>
        <v>0</v>
      </c>
      <c r="D50" s="10">
        <f t="shared" si="7"/>
        <v>0</v>
      </c>
      <c r="E50" s="10">
        <f t="shared" si="7"/>
        <v>0</v>
      </c>
      <c r="F50" s="10">
        <f t="shared" si="7"/>
        <v>0</v>
      </c>
      <c r="G50" s="10">
        <f t="shared" si="7"/>
        <v>0</v>
      </c>
      <c r="H50" s="10">
        <f t="shared" si="7"/>
        <v>0</v>
      </c>
    </row>
    <row r="51" spans="1:8">
      <c r="A51" s="10">
        <f t="shared" si="5"/>
        <v>0</v>
      </c>
      <c r="B51" s="10">
        <f t="shared" si="6"/>
        <v>0</v>
      </c>
      <c r="C51" s="10">
        <f t="shared" si="7"/>
        <v>0</v>
      </c>
      <c r="D51" s="10">
        <f t="shared" si="7"/>
        <v>0</v>
      </c>
      <c r="E51" s="10">
        <f t="shared" si="7"/>
        <v>0</v>
      </c>
      <c r="F51" s="10">
        <f t="shared" si="7"/>
        <v>0</v>
      </c>
      <c r="G51" s="10">
        <f t="shared" si="7"/>
        <v>0</v>
      </c>
      <c r="H51" s="10">
        <f t="shared" si="7"/>
        <v>0</v>
      </c>
    </row>
    <row r="52" spans="1:8">
      <c r="A52" s="10">
        <f t="shared" si="5"/>
        <v>0</v>
      </c>
      <c r="B52" s="10">
        <f t="shared" si="6"/>
        <v>0</v>
      </c>
      <c r="C52" s="10">
        <f t="shared" si="7"/>
        <v>0</v>
      </c>
      <c r="D52" s="10">
        <f t="shared" si="7"/>
        <v>0</v>
      </c>
      <c r="E52" s="10">
        <f t="shared" si="7"/>
        <v>0</v>
      </c>
      <c r="F52" s="10">
        <f t="shared" si="7"/>
        <v>0</v>
      </c>
      <c r="G52" s="10">
        <f t="shared" si="7"/>
        <v>0</v>
      </c>
      <c r="H52" s="10">
        <f t="shared" si="7"/>
        <v>0</v>
      </c>
    </row>
    <row r="53" spans="1:8">
      <c r="A53" s="10">
        <f t="shared" si="5"/>
        <v>0</v>
      </c>
      <c r="B53" s="10">
        <f t="shared" si="6"/>
        <v>0</v>
      </c>
      <c r="C53" s="10">
        <f t="shared" si="7"/>
        <v>0</v>
      </c>
      <c r="D53" s="10">
        <f t="shared" si="7"/>
        <v>0</v>
      </c>
      <c r="E53" s="10">
        <f t="shared" si="7"/>
        <v>0</v>
      </c>
      <c r="F53" s="10">
        <f t="shared" si="7"/>
        <v>0</v>
      </c>
      <c r="G53" s="10">
        <f t="shared" si="7"/>
        <v>0</v>
      </c>
      <c r="H53" s="10">
        <f t="shared" si="7"/>
        <v>0</v>
      </c>
    </row>
    <row r="54" spans="1:8">
      <c r="A54" s="10">
        <f t="shared" si="5"/>
        <v>0</v>
      </c>
      <c r="B54" s="10">
        <f t="shared" si="6"/>
        <v>0</v>
      </c>
      <c r="C54" s="10">
        <f t="shared" si="7"/>
        <v>0</v>
      </c>
      <c r="D54" s="10">
        <f t="shared" si="7"/>
        <v>0</v>
      </c>
      <c r="E54" s="10">
        <f t="shared" si="7"/>
        <v>0</v>
      </c>
      <c r="F54" s="10">
        <f t="shared" si="7"/>
        <v>0</v>
      </c>
      <c r="G54" s="10">
        <f t="shared" si="7"/>
        <v>0</v>
      </c>
      <c r="H54" s="10">
        <f t="shared" si="7"/>
        <v>0</v>
      </c>
    </row>
    <row r="55" spans="1:8">
      <c r="A55" s="10" t="str">
        <f t="shared" ref="A55:A62" si="8">B24</f>
        <v>Onion</v>
      </c>
      <c r="B55" s="10">
        <f t="shared" ref="B55:B61" si="9">H24*$B$44</f>
        <v>0</v>
      </c>
      <c r="C55" s="10">
        <f t="shared" si="7"/>
        <v>0</v>
      </c>
      <c r="D55" s="10">
        <f t="shared" si="7"/>
        <v>0</v>
      </c>
      <c r="E55" s="10">
        <f t="shared" si="7"/>
        <v>0</v>
      </c>
      <c r="F55" s="10">
        <f t="shared" si="7"/>
        <v>0</v>
      </c>
      <c r="G55" s="10">
        <f t="shared" si="7"/>
        <v>0</v>
      </c>
      <c r="H55" s="10">
        <f t="shared" si="7"/>
        <v>0</v>
      </c>
    </row>
    <row r="56" spans="1:8">
      <c r="A56" s="10" t="str">
        <f t="shared" si="8"/>
        <v>Tomato</v>
      </c>
      <c r="B56" s="10">
        <f t="shared" si="9"/>
        <v>0</v>
      </c>
      <c r="C56" s="10">
        <f t="shared" si="7"/>
        <v>0</v>
      </c>
      <c r="D56" s="10">
        <f t="shared" si="7"/>
        <v>0</v>
      </c>
      <c r="E56" s="10">
        <f t="shared" si="7"/>
        <v>0</v>
      </c>
      <c r="F56" s="10">
        <f t="shared" si="7"/>
        <v>0</v>
      </c>
      <c r="G56" s="10">
        <f t="shared" si="7"/>
        <v>0</v>
      </c>
      <c r="H56" s="10">
        <f t="shared" si="7"/>
        <v>0</v>
      </c>
    </row>
    <row r="57" spans="1:8">
      <c r="A57" s="10" t="str">
        <f t="shared" si="8"/>
        <v>Okra</v>
      </c>
      <c r="B57" s="10">
        <f t="shared" si="9"/>
        <v>0</v>
      </c>
      <c r="C57" s="10">
        <f t="shared" si="7"/>
        <v>0</v>
      </c>
      <c r="D57" s="10">
        <f t="shared" si="7"/>
        <v>0</v>
      </c>
      <c r="E57" s="10">
        <f t="shared" si="7"/>
        <v>0</v>
      </c>
      <c r="F57" s="10">
        <f t="shared" si="7"/>
        <v>0</v>
      </c>
      <c r="G57" s="10">
        <f t="shared" si="7"/>
        <v>0</v>
      </c>
      <c r="H57" s="10">
        <f t="shared" si="7"/>
        <v>0</v>
      </c>
    </row>
    <row r="58" spans="1:8">
      <c r="A58" s="10" t="str">
        <f t="shared" si="8"/>
        <v>Chilli</v>
      </c>
      <c r="B58" s="10">
        <f t="shared" si="9"/>
        <v>0</v>
      </c>
      <c r="C58" s="10">
        <f t="shared" si="7"/>
        <v>0</v>
      </c>
      <c r="D58" s="10">
        <f t="shared" si="7"/>
        <v>0</v>
      </c>
      <c r="E58" s="10">
        <f t="shared" si="7"/>
        <v>0</v>
      </c>
      <c r="F58" s="10">
        <f t="shared" si="7"/>
        <v>0</v>
      </c>
      <c r="G58" s="10">
        <f t="shared" si="7"/>
        <v>0</v>
      </c>
      <c r="H58" s="10">
        <f t="shared" si="7"/>
        <v>0</v>
      </c>
    </row>
    <row r="59" spans="1:8">
      <c r="A59" s="10" t="str">
        <f t="shared" si="8"/>
        <v>Brinjal</v>
      </c>
      <c r="B59" s="10">
        <f t="shared" si="9"/>
        <v>0</v>
      </c>
      <c r="C59" s="10">
        <f t="shared" si="7"/>
        <v>0</v>
      </c>
      <c r="D59" s="10">
        <f t="shared" si="7"/>
        <v>0</v>
      </c>
      <c r="E59" s="10">
        <f t="shared" si="7"/>
        <v>0</v>
      </c>
      <c r="F59" s="10">
        <f t="shared" si="7"/>
        <v>0</v>
      </c>
      <c r="G59" s="10">
        <f t="shared" si="7"/>
        <v>0</v>
      </c>
      <c r="H59" s="10">
        <f t="shared" si="7"/>
        <v>0</v>
      </c>
    </row>
    <row r="60" spans="1:8">
      <c r="A60" s="10">
        <f t="shared" si="8"/>
        <v>0</v>
      </c>
      <c r="B60" s="10">
        <f t="shared" si="9"/>
        <v>0</v>
      </c>
      <c r="C60" s="10">
        <f t="shared" si="7"/>
        <v>0</v>
      </c>
      <c r="D60" s="10">
        <f t="shared" si="7"/>
        <v>0</v>
      </c>
      <c r="E60" s="10">
        <f t="shared" si="7"/>
        <v>0</v>
      </c>
      <c r="F60" s="10">
        <f t="shared" si="7"/>
        <v>0</v>
      </c>
      <c r="G60" s="10">
        <f t="shared" si="7"/>
        <v>0</v>
      </c>
      <c r="H60" s="10">
        <f t="shared" si="7"/>
        <v>0</v>
      </c>
    </row>
    <row r="61" spans="1:8">
      <c r="A61" s="10">
        <f t="shared" si="8"/>
        <v>0</v>
      </c>
      <c r="B61" s="10">
        <f t="shared" si="9"/>
        <v>0</v>
      </c>
      <c r="C61" s="10">
        <f t="shared" si="7"/>
        <v>0</v>
      </c>
      <c r="D61" s="10">
        <f t="shared" si="7"/>
        <v>0</v>
      </c>
      <c r="E61" s="10">
        <f t="shared" si="7"/>
        <v>0</v>
      </c>
      <c r="F61" s="10">
        <f t="shared" si="7"/>
        <v>0</v>
      </c>
      <c r="G61" s="10">
        <f t="shared" si="7"/>
        <v>0</v>
      </c>
      <c r="H61" s="10">
        <f t="shared" si="7"/>
        <v>0</v>
      </c>
    </row>
    <row r="62" spans="1:8">
      <c r="A62" s="10">
        <f t="shared" si="8"/>
        <v>0</v>
      </c>
      <c r="B62" s="10">
        <f>H31*$B$44</f>
        <v>0</v>
      </c>
      <c r="C62" s="10">
        <f t="shared" ref="C62:H70" si="10">(B62/B$44)*C$44</f>
        <v>0</v>
      </c>
      <c r="D62" s="10">
        <f t="shared" si="10"/>
        <v>0</v>
      </c>
      <c r="E62" s="10">
        <f t="shared" si="10"/>
        <v>0</v>
      </c>
      <c r="F62" s="10">
        <f t="shared" si="10"/>
        <v>0</v>
      </c>
      <c r="G62" s="10">
        <f t="shared" si="10"/>
        <v>0</v>
      </c>
      <c r="H62" s="10">
        <f t="shared" si="10"/>
        <v>0</v>
      </c>
    </row>
    <row r="63" spans="1:8">
      <c r="A63" s="10">
        <f t="shared" ref="A63:A70" si="11">B33</f>
        <v>0</v>
      </c>
      <c r="B63" s="10">
        <f t="shared" ref="B63:B70" si="12">H33*$B$44</f>
        <v>0</v>
      </c>
      <c r="C63" s="10">
        <f t="shared" si="10"/>
        <v>0</v>
      </c>
      <c r="D63" s="10">
        <f t="shared" ref="D63:H66" si="13">(C63/C$44)*D$44</f>
        <v>0</v>
      </c>
      <c r="E63" s="10">
        <f t="shared" si="13"/>
        <v>0</v>
      </c>
      <c r="F63" s="10">
        <f t="shared" si="13"/>
        <v>0</v>
      </c>
      <c r="G63" s="10">
        <f t="shared" si="13"/>
        <v>0</v>
      </c>
      <c r="H63" s="10">
        <f t="shared" si="13"/>
        <v>0</v>
      </c>
    </row>
    <row r="64" spans="1:8">
      <c r="A64" s="10">
        <f t="shared" si="11"/>
        <v>0</v>
      </c>
      <c r="B64" s="10">
        <f t="shared" si="12"/>
        <v>0</v>
      </c>
      <c r="C64" s="10">
        <f t="shared" si="10"/>
        <v>0</v>
      </c>
      <c r="D64" s="10">
        <f t="shared" si="13"/>
        <v>0</v>
      </c>
      <c r="E64" s="10">
        <f t="shared" si="13"/>
        <v>0</v>
      </c>
      <c r="F64" s="10">
        <f t="shared" si="13"/>
        <v>0</v>
      </c>
      <c r="G64" s="10">
        <f t="shared" si="13"/>
        <v>0</v>
      </c>
      <c r="H64" s="10">
        <f t="shared" si="13"/>
        <v>0</v>
      </c>
    </row>
    <row r="65" spans="1:8">
      <c r="A65" s="10">
        <f t="shared" si="11"/>
        <v>0</v>
      </c>
      <c r="B65" s="10">
        <f t="shared" si="12"/>
        <v>0</v>
      </c>
      <c r="C65" s="10">
        <f t="shared" si="10"/>
        <v>0</v>
      </c>
      <c r="D65" s="10">
        <f t="shared" si="13"/>
        <v>0</v>
      </c>
      <c r="E65" s="10">
        <f t="shared" si="13"/>
        <v>0</v>
      </c>
      <c r="F65" s="10">
        <f t="shared" si="13"/>
        <v>0</v>
      </c>
      <c r="G65" s="10">
        <f t="shared" si="13"/>
        <v>0</v>
      </c>
      <c r="H65" s="10">
        <f t="shared" si="13"/>
        <v>0</v>
      </c>
    </row>
    <row r="66" spans="1:8">
      <c r="A66" s="10">
        <f t="shared" si="11"/>
        <v>0</v>
      </c>
      <c r="B66" s="10">
        <f t="shared" si="12"/>
        <v>0</v>
      </c>
      <c r="C66" s="10">
        <f t="shared" si="10"/>
        <v>0</v>
      </c>
      <c r="D66" s="10">
        <f t="shared" si="13"/>
        <v>0</v>
      </c>
      <c r="E66" s="10">
        <f t="shared" si="13"/>
        <v>0</v>
      </c>
      <c r="F66" s="10">
        <f t="shared" si="13"/>
        <v>0</v>
      </c>
      <c r="G66" s="10">
        <f t="shared" si="13"/>
        <v>0</v>
      </c>
      <c r="H66" s="10">
        <f t="shared" si="13"/>
        <v>0</v>
      </c>
    </row>
    <row r="67" spans="1:8">
      <c r="A67" s="10" t="str">
        <f t="shared" si="11"/>
        <v>Pomegranate</v>
      </c>
      <c r="B67" s="10">
        <f t="shared" si="12"/>
        <v>0</v>
      </c>
      <c r="C67" s="10">
        <f t="shared" si="10"/>
        <v>0</v>
      </c>
      <c r="D67" s="10">
        <f t="shared" si="10"/>
        <v>0</v>
      </c>
      <c r="E67" s="10">
        <f t="shared" si="10"/>
        <v>0</v>
      </c>
      <c r="F67" s="10">
        <f t="shared" si="10"/>
        <v>0</v>
      </c>
      <c r="G67" s="10">
        <f t="shared" si="10"/>
        <v>0</v>
      </c>
      <c r="H67" s="10">
        <f t="shared" si="10"/>
        <v>0</v>
      </c>
    </row>
    <row r="68" spans="1:8">
      <c r="A68" s="10" t="str">
        <f t="shared" si="11"/>
        <v>Custard Apple</v>
      </c>
      <c r="B68" s="10">
        <f t="shared" si="12"/>
        <v>0</v>
      </c>
      <c r="C68" s="10">
        <f t="shared" si="10"/>
        <v>0</v>
      </c>
      <c r="D68" s="10">
        <f t="shared" si="10"/>
        <v>0</v>
      </c>
      <c r="E68" s="10">
        <f t="shared" si="10"/>
        <v>0</v>
      </c>
      <c r="F68" s="10">
        <f t="shared" si="10"/>
        <v>0</v>
      </c>
      <c r="G68" s="10">
        <f t="shared" si="10"/>
        <v>0</v>
      </c>
      <c r="H68" s="10">
        <f t="shared" si="10"/>
        <v>0</v>
      </c>
    </row>
    <row r="69" spans="1:8">
      <c r="A69" s="10" t="str">
        <f t="shared" si="11"/>
        <v>Guava</v>
      </c>
      <c r="B69" s="10">
        <f t="shared" si="12"/>
        <v>0</v>
      </c>
      <c r="C69" s="10">
        <f t="shared" si="10"/>
        <v>0</v>
      </c>
      <c r="D69" s="10">
        <f t="shared" si="10"/>
        <v>0</v>
      </c>
      <c r="E69" s="10">
        <f t="shared" si="10"/>
        <v>0</v>
      </c>
      <c r="F69" s="10">
        <f t="shared" si="10"/>
        <v>0</v>
      </c>
      <c r="G69" s="10">
        <f t="shared" si="10"/>
        <v>0</v>
      </c>
      <c r="H69" s="10">
        <f t="shared" si="10"/>
        <v>0</v>
      </c>
    </row>
    <row r="70" spans="1:8">
      <c r="A70" s="10" t="str">
        <f t="shared" si="11"/>
        <v>Citrus</v>
      </c>
      <c r="B70" s="10">
        <f t="shared" si="12"/>
        <v>0</v>
      </c>
      <c r="C70" s="10">
        <f t="shared" si="10"/>
        <v>0</v>
      </c>
      <c r="D70" s="10">
        <f t="shared" si="10"/>
        <v>0</v>
      </c>
      <c r="E70" s="10">
        <f>(D70/D$44)*E$44</f>
        <v>0</v>
      </c>
      <c r="F70" s="10">
        <f>(E70/E$44)*F$44</f>
        <v>0</v>
      </c>
      <c r="G70" s="10">
        <f>(F70/F$44)*G$44</f>
        <v>0</v>
      </c>
      <c r="H70" s="10">
        <f>(G70/G$44)*H$44</f>
        <v>0</v>
      </c>
    </row>
    <row r="71" spans="1:8" ht="17.5">
      <c r="A71" s="478" t="s">
        <v>600</v>
      </c>
      <c r="B71" s="479"/>
      <c r="C71" s="479"/>
      <c r="D71" s="479"/>
      <c r="E71" s="479"/>
      <c r="F71" s="479"/>
      <c r="G71" s="479"/>
      <c r="H71" s="480"/>
    </row>
    <row r="72" spans="1:8">
      <c r="A72" s="481" t="s">
        <v>0</v>
      </c>
      <c r="B72" s="288">
        <v>0.05</v>
      </c>
      <c r="C72" s="288">
        <f t="shared" ref="C72:H72" si="14">B72+0.05</f>
        <v>0.1</v>
      </c>
      <c r="D72" s="288">
        <f t="shared" si="14"/>
        <v>0.15000000000000002</v>
      </c>
      <c r="E72" s="288">
        <f t="shared" si="14"/>
        <v>0.2</v>
      </c>
      <c r="F72" s="288">
        <f t="shared" si="14"/>
        <v>0.25</v>
      </c>
      <c r="G72" s="288">
        <f t="shared" si="14"/>
        <v>0.3</v>
      </c>
      <c r="H72" s="288">
        <f t="shared" si="14"/>
        <v>0.35</v>
      </c>
    </row>
    <row r="73" spans="1:8">
      <c r="A73" s="482"/>
      <c r="B73" s="278" t="s">
        <v>2</v>
      </c>
      <c r="C73" s="278" t="s">
        <v>3</v>
      </c>
      <c r="D73" s="278" t="s">
        <v>4</v>
      </c>
      <c r="E73" s="278" t="s">
        <v>5</v>
      </c>
      <c r="F73" s="278" t="s">
        <v>6</v>
      </c>
      <c r="G73" s="278" t="s">
        <v>171</v>
      </c>
      <c r="H73" s="278" t="s">
        <v>170</v>
      </c>
    </row>
    <row r="74" spans="1:8" s="13" customFormat="1">
      <c r="A74" s="10" t="str">
        <f t="shared" ref="A74:A98" si="15">A46</f>
        <v>Onion</v>
      </c>
      <c r="B74" s="10">
        <f t="shared" ref="B74:H74" si="16">H14*$B$72</f>
        <v>0</v>
      </c>
      <c r="C74" s="10">
        <f t="shared" si="16"/>
        <v>0</v>
      </c>
      <c r="D74" s="10">
        <f t="shared" si="16"/>
        <v>0</v>
      </c>
      <c r="E74" s="10">
        <f t="shared" si="16"/>
        <v>0</v>
      </c>
      <c r="F74" s="10">
        <f t="shared" si="16"/>
        <v>0</v>
      </c>
      <c r="G74" s="10">
        <f t="shared" si="16"/>
        <v>0</v>
      </c>
      <c r="H74" s="10">
        <f t="shared" si="16"/>
        <v>0</v>
      </c>
    </row>
    <row r="75" spans="1:8">
      <c r="A75" s="10" t="str">
        <f t="shared" si="15"/>
        <v>Tomato</v>
      </c>
      <c r="B75" s="10">
        <f>H15*$B$72*0</f>
        <v>0</v>
      </c>
      <c r="C75" s="10">
        <f t="shared" ref="C75:H75" si="17">(B75/B72)*C72</f>
        <v>0</v>
      </c>
      <c r="D75" s="10">
        <f t="shared" si="17"/>
        <v>0</v>
      </c>
      <c r="E75" s="10">
        <f t="shared" si="17"/>
        <v>0</v>
      </c>
      <c r="F75" s="10">
        <f t="shared" si="17"/>
        <v>0</v>
      </c>
      <c r="G75" s="10">
        <f t="shared" si="17"/>
        <v>0</v>
      </c>
      <c r="H75" s="10">
        <f t="shared" si="17"/>
        <v>0</v>
      </c>
    </row>
    <row r="76" spans="1:8">
      <c r="A76" s="10" t="str">
        <f t="shared" si="15"/>
        <v>Okra</v>
      </c>
      <c r="B76" s="10">
        <f t="shared" ref="B76:B82" si="18">H16*$B$72</f>
        <v>0</v>
      </c>
      <c r="C76" s="10">
        <f t="shared" ref="C76:H76" si="19">(B76/B72)*C72</f>
        <v>0</v>
      </c>
      <c r="D76" s="10">
        <f t="shared" si="19"/>
        <v>0</v>
      </c>
      <c r="E76" s="10">
        <f t="shared" si="19"/>
        <v>0</v>
      </c>
      <c r="F76" s="10">
        <f t="shared" si="19"/>
        <v>0</v>
      </c>
      <c r="G76" s="10">
        <f t="shared" si="19"/>
        <v>0</v>
      </c>
      <c r="H76" s="10">
        <f t="shared" si="19"/>
        <v>0</v>
      </c>
    </row>
    <row r="77" spans="1:8">
      <c r="A77" s="10" t="str">
        <f t="shared" si="15"/>
        <v>Chilli</v>
      </c>
      <c r="B77" s="10">
        <f>H17*$B$72*0</f>
        <v>0</v>
      </c>
      <c r="C77" s="10">
        <f t="shared" ref="C77:H95" si="20">(B77/B$72)*C$72</f>
        <v>0</v>
      </c>
      <c r="D77" s="10">
        <f t="shared" si="20"/>
        <v>0</v>
      </c>
      <c r="E77" s="10">
        <f t="shared" si="20"/>
        <v>0</v>
      </c>
      <c r="F77" s="10">
        <f t="shared" si="20"/>
        <v>0</v>
      </c>
      <c r="G77" s="10">
        <f t="shared" si="20"/>
        <v>0</v>
      </c>
      <c r="H77" s="10">
        <f t="shared" si="20"/>
        <v>0</v>
      </c>
    </row>
    <row r="78" spans="1:8">
      <c r="A78" s="10" t="str">
        <f t="shared" si="15"/>
        <v>Potato</v>
      </c>
      <c r="B78" s="10">
        <f t="shared" si="18"/>
        <v>0</v>
      </c>
      <c r="C78" s="10">
        <f t="shared" si="20"/>
        <v>0</v>
      </c>
      <c r="D78" s="10">
        <f t="shared" si="20"/>
        <v>0</v>
      </c>
      <c r="E78" s="10">
        <f t="shared" si="20"/>
        <v>0</v>
      </c>
      <c r="F78" s="10">
        <f t="shared" si="20"/>
        <v>0</v>
      </c>
      <c r="G78" s="10">
        <f t="shared" si="20"/>
        <v>0</v>
      </c>
      <c r="H78" s="10">
        <f t="shared" si="20"/>
        <v>0</v>
      </c>
    </row>
    <row r="79" spans="1:8">
      <c r="A79" s="10">
        <f t="shared" si="15"/>
        <v>0</v>
      </c>
      <c r="B79" s="10">
        <f>H19*$B$72*0</f>
        <v>0</v>
      </c>
      <c r="C79" s="10">
        <f t="shared" si="20"/>
        <v>0</v>
      </c>
      <c r="D79" s="10">
        <f t="shared" si="20"/>
        <v>0</v>
      </c>
      <c r="E79" s="10">
        <f t="shared" si="20"/>
        <v>0</v>
      </c>
      <c r="F79" s="10">
        <f t="shared" si="20"/>
        <v>0</v>
      </c>
      <c r="G79" s="10">
        <f t="shared" si="20"/>
        <v>0</v>
      </c>
      <c r="H79" s="10">
        <f t="shared" si="20"/>
        <v>0</v>
      </c>
    </row>
    <row r="80" spans="1:8">
      <c r="A80" s="10">
        <f t="shared" si="15"/>
        <v>0</v>
      </c>
      <c r="B80" s="10">
        <f>H20*$B$72*0</f>
        <v>0</v>
      </c>
      <c r="C80" s="10">
        <f t="shared" si="20"/>
        <v>0</v>
      </c>
      <c r="D80" s="10">
        <f t="shared" si="20"/>
        <v>0</v>
      </c>
      <c r="E80" s="10">
        <f t="shared" si="20"/>
        <v>0</v>
      </c>
      <c r="F80" s="10">
        <f t="shared" si="20"/>
        <v>0</v>
      </c>
      <c r="G80" s="10">
        <f t="shared" si="20"/>
        <v>0</v>
      </c>
      <c r="H80" s="10">
        <f t="shared" si="20"/>
        <v>0</v>
      </c>
    </row>
    <row r="81" spans="1:8">
      <c r="A81" s="10">
        <f t="shared" si="15"/>
        <v>0</v>
      </c>
      <c r="B81" s="10">
        <f t="shared" si="18"/>
        <v>0</v>
      </c>
      <c r="C81" s="10">
        <f t="shared" si="20"/>
        <v>0</v>
      </c>
      <c r="D81" s="10">
        <f t="shared" si="20"/>
        <v>0</v>
      </c>
      <c r="E81" s="10">
        <f t="shared" si="20"/>
        <v>0</v>
      </c>
      <c r="F81" s="10">
        <f t="shared" si="20"/>
        <v>0</v>
      </c>
      <c r="G81" s="10">
        <f t="shared" si="20"/>
        <v>0</v>
      </c>
      <c r="H81" s="10">
        <f t="shared" si="20"/>
        <v>0</v>
      </c>
    </row>
    <row r="82" spans="1:8">
      <c r="A82" s="10">
        <f t="shared" si="15"/>
        <v>0</v>
      </c>
      <c r="B82" s="10">
        <f t="shared" si="18"/>
        <v>0</v>
      </c>
      <c r="C82" s="10">
        <f t="shared" si="20"/>
        <v>0</v>
      </c>
      <c r="D82" s="10">
        <f t="shared" si="20"/>
        <v>0</v>
      </c>
      <c r="E82" s="10">
        <f t="shared" si="20"/>
        <v>0</v>
      </c>
      <c r="F82" s="10">
        <f t="shared" si="20"/>
        <v>0</v>
      </c>
      <c r="G82" s="10">
        <f t="shared" si="20"/>
        <v>0</v>
      </c>
      <c r="H82" s="10">
        <f t="shared" si="20"/>
        <v>0</v>
      </c>
    </row>
    <row r="83" spans="1:8">
      <c r="A83" s="10" t="str">
        <f t="shared" si="15"/>
        <v>Onion</v>
      </c>
      <c r="B83" s="10">
        <f t="shared" ref="B83:B90" si="21">H24*$B$72</f>
        <v>0</v>
      </c>
      <c r="C83" s="10">
        <f t="shared" si="20"/>
        <v>0</v>
      </c>
      <c r="D83" s="10">
        <f t="shared" si="20"/>
        <v>0</v>
      </c>
      <c r="E83" s="10">
        <f t="shared" si="20"/>
        <v>0</v>
      </c>
      <c r="F83" s="10">
        <f t="shared" si="20"/>
        <v>0</v>
      </c>
      <c r="G83" s="10">
        <f t="shared" si="20"/>
        <v>0</v>
      </c>
      <c r="H83" s="10">
        <f t="shared" si="20"/>
        <v>0</v>
      </c>
    </row>
    <row r="84" spans="1:8">
      <c r="A84" s="10" t="str">
        <f t="shared" si="15"/>
        <v>Tomato</v>
      </c>
      <c r="B84" s="10">
        <f t="shared" si="21"/>
        <v>0</v>
      </c>
      <c r="C84" s="10">
        <f t="shared" si="20"/>
        <v>0</v>
      </c>
      <c r="D84" s="10">
        <f t="shared" si="20"/>
        <v>0</v>
      </c>
      <c r="E84" s="10">
        <f t="shared" si="20"/>
        <v>0</v>
      </c>
      <c r="F84" s="10">
        <f t="shared" si="20"/>
        <v>0</v>
      </c>
      <c r="G84" s="10">
        <f t="shared" si="20"/>
        <v>0</v>
      </c>
      <c r="H84" s="10">
        <f t="shared" si="20"/>
        <v>0</v>
      </c>
    </row>
    <row r="85" spans="1:8">
      <c r="A85" s="10" t="str">
        <f t="shared" si="15"/>
        <v>Okra</v>
      </c>
      <c r="B85" s="10">
        <f t="shared" si="21"/>
        <v>0</v>
      </c>
      <c r="C85" s="10">
        <f t="shared" si="20"/>
        <v>0</v>
      </c>
      <c r="D85" s="10">
        <f t="shared" si="20"/>
        <v>0</v>
      </c>
      <c r="E85" s="10">
        <f t="shared" si="20"/>
        <v>0</v>
      </c>
      <c r="F85" s="10">
        <f t="shared" si="20"/>
        <v>0</v>
      </c>
      <c r="G85" s="10">
        <f t="shared" si="20"/>
        <v>0</v>
      </c>
      <c r="H85" s="10">
        <f t="shared" si="20"/>
        <v>0</v>
      </c>
    </row>
    <row r="86" spans="1:8">
      <c r="A86" s="10" t="str">
        <f t="shared" si="15"/>
        <v>Chilli</v>
      </c>
      <c r="B86" s="10">
        <f t="shared" si="21"/>
        <v>0</v>
      </c>
      <c r="C86" s="10">
        <f t="shared" si="20"/>
        <v>0</v>
      </c>
      <c r="D86" s="10">
        <f t="shared" si="20"/>
        <v>0</v>
      </c>
      <c r="E86" s="10">
        <f t="shared" si="20"/>
        <v>0</v>
      </c>
      <c r="F86" s="10">
        <f t="shared" si="20"/>
        <v>0</v>
      </c>
      <c r="G86" s="10">
        <f t="shared" si="20"/>
        <v>0</v>
      </c>
      <c r="H86" s="10">
        <f t="shared" si="20"/>
        <v>0</v>
      </c>
    </row>
    <row r="87" spans="1:8">
      <c r="A87" s="10" t="str">
        <f t="shared" si="15"/>
        <v>Brinjal</v>
      </c>
      <c r="B87" s="10">
        <f t="shared" si="21"/>
        <v>0</v>
      </c>
      <c r="C87" s="10">
        <f t="shared" si="20"/>
        <v>0</v>
      </c>
      <c r="D87" s="10">
        <f t="shared" si="20"/>
        <v>0</v>
      </c>
      <c r="E87" s="10">
        <f t="shared" si="20"/>
        <v>0</v>
      </c>
      <c r="F87" s="10">
        <f t="shared" si="20"/>
        <v>0</v>
      </c>
      <c r="G87" s="10">
        <f t="shared" si="20"/>
        <v>0</v>
      </c>
      <c r="H87" s="10">
        <f t="shared" si="20"/>
        <v>0</v>
      </c>
    </row>
    <row r="88" spans="1:8">
      <c r="A88" s="10">
        <f t="shared" si="15"/>
        <v>0</v>
      </c>
      <c r="B88" s="10">
        <f t="shared" si="21"/>
        <v>0</v>
      </c>
      <c r="C88" s="10">
        <f t="shared" si="20"/>
        <v>0</v>
      </c>
      <c r="D88" s="10">
        <f t="shared" si="20"/>
        <v>0</v>
      </c>
      <c r="E88" s="10">
        <f t="shared" si="20"/>
        <v>0</v>
      </c>
      <c r="F88" s="10">
        <f t="shared" si="20"/>
        <v>0</v>
      </c>
      <c r="G88" s="10">
        <f t="shared" si="20"/>
        <v>0</v>
      </c>
      <c r="H88" s="10">
        <f t="shared" si="20"/>
        <v>0</v>
      </c>
    </row>
    <row r="89" spans="1:8">
      <c r="A89" s="10">
        <f t="shared" si="15"/>
        <v>0</v>
      </c>
      <c r="B89" s="10">
        <f t="shared" si="21"/>
        <v>0</v>
      </c>
      <c r="C89" s="10">
        <f t="shared" si="20"/>
        <v>0</v>
      </c>
      <c r="D89" s="10">
        <f t="shared" si="20"/>
        <v>0</v>
      </c>
      <c r="E89" s="10">
        <f t="shared" si="20"/>
        <v>0</v>
      </c>
      <c r="F89" s="10">
        <f t="shared" si="20"/>
        <v>0</v>
      </c>
      <c r="G89" s="10">
        <f t="shared" si="20"/>
        <v>0</v>
      </c>
      <c r="H89" s="10">
        <f t="shared" si="20"/>
        <v>0</v>
      </c>
    </row>
    <row r="90" spans="1:8">
      <c r="A90" s="10">
        <f t="shared" si="15"/>
        <v>0</v>
      </c>
      <c r="B90" s="10">
        <f t="shared" si="21"/>
        <v>0</v>
      </c>
      <c r="C90" s="10">
        <f t="shared" si="20"/>
        <v>0</v>
      </c>
      <c r="D90" s="10">
        <f t="shared" si="20"/>
        <v>0</v>
      </c>
      <c r="E90" s="10">
        <f t="shared" si="20"/>
        <v>0</v>
      </c>
      <c r="F90" s="10">
        <f t="shared" si="20"/>
        <v>0</v>
      </c>
      <c r="G90" s="10">
        <f t="shared" si="20"/>
        <v>0</v>
      </c>
      <c r="H90" s="10">
        <f t="shared" si="20"/>
        <v>0</v>
      </c>
    </row>
    <row r="91" spans="1:8">
      <c r="A91" s="10">
        <f t="shared" si="15"/>
        <v>0</v>
      </c>
      <c r="B91" s="10">
        <f t="shared" ref="B91:B98" si="22">H33*$B$72</f>
        <v>0</v>
      </c>
      <c r="C91" s="10">
        <f t="shared" si="20"/>
        <v>0</v>
      </c>
      <c r="D91" s="10">
        <f t="shared" ref="D91:G94" si="23">(C91/C$72)*D$72</f>
        <v>0</v>
      </c>
      <c r="E91" s="10">
        <f t="shared" si="23"/>
        <v>0</v>
      </c>
      <c r="F91" s="10">
        <f t="shared" si="23"/>
        <v>0</v>
      </c>
      <c r="G91" s="10">
        <f t="shared" si="23"/>
        <v>0</v>
      </c>
      <c r="H91" s="10">
        <f t="shared" si="20"/>
        <v>0</v>
      </c>
    </row>
    <row r="92" spans="1:8">
      <c r="A92" s="10">
        <f t="shared" si="15"/>
        <v>0</v>
      </c>
      <c r="B92" s="10">
        <f t="shared" si="22"/>
        <v>0</v>
      </c>
      <c r="C92" s="10">
        <f t="shared" si="20"/>
        <v>0</v>
      </c>
      <c r="D92" s="10">
        <f t="shared" si="23"/>
        <v>0</v>
      </c>
      <c r="E92" s="10">
        <f t="shared" si="23"/>
        <v>0</v>
      </c>
      <c r="F92" s="10">
        <f t="shared" si="23"/>
        <v>0</v>
      </c>
      <c r="G92" s="10">
        <f t="shared" si="23"/>
        <v>0</v>
      </c>
      <c r="H92" s="10"/>
    </row>
    <row r="93" spans="1:8">
      <c r="A93" s="10">
        <f t="shared" si="15"/>
        <v>0</v>
      </c>
      <c r="B93" s="10">
        <f t="shared" si="22"/>
        <v>0</v>
      </c>
      <c r="C93" s="10">
        <f t="shared" si="20"/>
        <v>0</v>
      </c>
      <c r="D93" s="10">
        <f t="shared" si="23"/>
        <v>0</v>
      </c>
      <c r="E93" s="10">
        <f t="shared" si="23"/>
        <v>0</v>
      </c>
      <c r="F93" s="10">
        <f t="shared" si="23"/>
        <v>0</v>
      </c>
      <c r="G93" s="10">
        <f t="shared" si="23"/>
        <v>0</v>
      </c>
      <c r="H93" s="10"/>
    </row>
    <row r="94" spans="1:8">
      <c r="A94" s="10">
        <f t="shared" si="15"/>
        <v>0</v>
      </c>
      <c r="B94" s="10">
        <f t="shared" si="22"/>
        <v>0</v>
      </c>
      <c r="C94" s="10">
        <f t="shared" si="20"/>
        <v>0</v>
      </c>
      <c r="D94" s="10">
        <f t="shared" si="23"/>
        <v>0</v>
      </c>
      <c r="E94" s="10">
        <f t="shared" si="23"/>
        <v>0</v>
      </c>
      <c r="F94" s="10">
        <f t="shared" si="23"/>
        <v>0</v>
      </c>
      <c r="G94" s="10">
        <f t="shared" si="23"/>
        <v>0</v>
      </c>
      <c r="H94" s="10"/>
    </row>
    <row r="95" spans="1:8">
      <c r="A95" s="10" t="str">
        <f t="shared" si="15"/>
        <v>Pomegranate</v>
      </c>
      <c r="B95" s="10">
        <f t="shared" si="22"/>
        <v>0</v>
      </c>
      <c r="C95" s="10">
        <f t="shared" si="20"/>
        <v>0</v>
      </c>
      <c r="D95" s="10">
        <f t="shared" si="20"/>
        <v>0</v>
      </c>
      <c r="E95" s="10">
        <f t="shared" si="20"/>
        <v>0</v>
      </c>
      <c r="F95" s="10">
        <f t="shared" si="20"/>
        <v>0</v>
      </c>
      <c r="G95" s="10">
        <f t="shared" si="20"/>
        <v>0</v>
      </c>
      <c r="H95" s="10">
        <f t="shared" si="20"/>
        <v>0</v>
      </c>
    </row>
    <row r="96" spans="1:8">
      <c r="A96" s="10" t="str">
        <f t="shared" si="15"/>
        <v>Custard Apple</v>
      </c>
      <c r="B96" s="10">
        <f t="shared" si="22"/>
        <v>0</v>
      </c>
      <c r="C96" s="10">
        <f t="shared" ref="C96:H98" si="24">(B96/B$72)*C$72</f>
        <v>0</v>
      </c>
      <c r="D96" s="10">
        <f t="shared" si="24"/>
        <v>0</v>
      </c>
      <c r="E96" s="10">
        <f t="shared" si="24"/>
        <v>0</v>
      </c>
      <c r="F96" s="10">
        <f t="shared" si="24"/>
        <v>0</v>
      </c>
      <c r="G96" s="10">
        <f t="shared" si="24"/>
        <v>0</v>
      </c>
      <c r="H96" s="10">
        <f t="shared" si="24"/>
        <v>0</v>
      </c>
    </row>
    <row r="97" spans="1:9">
      <c r="A97" s="10" t="str">
        <f t="shared" si="15"/>
        <v>Guava</v>
      </c>
      <c r="B97" s="10">
        <f t="shared" si="22"/>
        <v>0</v>
      </c>
      <c r="C97" s="10">
        <f t="shared" si="24"/>
        <v>0</v>
      </c>
      <c r="D97" s="10">
        <f t="shared" si="24"/>
        <v>0</v>
      </c>
      <c r="E97" s="10">
        <f t="shared" si="24"/>
        <v>0</v>
      </c>
      <c r="F97" s="10">
        <f t="shared" si="24"/>
        <v>0</v>
      </c>
      <c r="G97" s="10">
        <f t="shared" si="24"/>
        <v>0</v>
      </c>
      <c r="H97" s="10">
        <f t="shared" si="24"/>
        <v>0</v>
      </c>
    </row>
    <row r="98" spans="1:9">
      <c r="A98" s="10" t="str">
        <f t="shared" si="15"/>
        <v>Citrus</v>
      </c>
      <c r="B98" s="10">
        <f t="shared" si="22"/>
        <v>0</v>
      </c>
      <c r="C98" s="10">
        <f t="shared" si="24"/>
        <v>0</v>
      </c>
      <c r="D98" s="10">
        <f>(C98/C$72)*D$72</f>
        <v>0</v>
      </c>
      <c r="E98" s="10">
        <f>(D98/D$72)*E$72</f>
        <v>0</v>
      </c>
      <c r="F98" s="10">
        <f>(E98/E$72)*F$72</f>
        <v>0</v>
      </c>
      <c r="G98" s="10">
        <f>(F98/F$72)*G$72</f>
        <v>0</v>
      </c>
      <c r="H98" s="10">
        <f>(G98/G$72)*H$72</f>
        <v>0</v>
      </c>
      <c r="I98" s="266"/>
    </row>
    <row r="99" spans="1:9" ht="17.5">
      <c r="A99" s="478" t="s">
        <v>601</v>
      </c>
      <c r="B99" s="479"/>
      <c r="C99" s="479"/>
      <c r="D99" s="479"/>
      <c r="E99" s="479"/>
      <c r="F99" s="479"/>
      <c r="G99" s="479"/>
      <c r="H99" s="480"/>
    </row>
    <row r="100" spans="1:9">
      <c r="A100" s="467" t="s">
        <v>0</v>
      </c>
      <c r="B100" s="311">
        <v>0.65</v>
      </c>
      <c r="C100" s="312">
        <f t="shared" ref="C100:H100" si="25">B100+0.05</f>
        <v>0.70000000000000007</v>
      </c>
      <c r="D100" s="312">
        <f t="shared" si="25"/>
        <v>0.75000000000000011</v>
      </c>
      <c r="E100" s="312">
        <f t="shared" si="25"/>
        <v>0.80000000000000016</v>
      </c>
      <c r="F100" s="312">
        <f t="shared" si="25"/>
        <v>0.8500000000000002</v>
      </c>
      <c r="G100" s="312">
        <f t="shared" si="25"/>
        <v>0.90000000000000024</v>
      </c>
      <c r="H100" s="312">
        <f t="shared" si="25"/>
        <v>0.95000000000000029</v>
      </c>
    </row>
    <row r="101" spans="1:9">
      <c r="A101" s="468"/>
      <c r="B101" s="278" t="s">
        <v>2</v>
      </c>
      <c r="C101" s="278" t="s">
        <v>3</v>
      </c>
      <c r="D101" s="278" t="s">
        <v>4</v>
      </c>
      <c r="E101" s="278" t="s">
        <v>5</v>
      </c>
      <c r="F101" s="278" t="s">
        <v>6</v>
      </c>
      <c r="G101" s="278" t="s">
        <v>171</v>
      </c>
      <c r="H101" s="278" t="s">
        <v>170</v>
      </c>
    </row>
    <row r="102" spans="1:9" s="13" customFormat="1">
      <c r="A102" s="10" t="str">
        <f t="shared" ref="A102:A126" si="26">A74</f>
        <v>Onion</v>
      </c>
      <c r="B102" s="10">
        <f t="shared" ref="B102:B110" si="27">D14*$B$100</f>
        <v>0</v>
      </c>
      <c r="C102" s="275">
        <f t="shared" ref="C102:H117" si="28">(B102/B$100)*C$100</f>
        <v>0</v>
      </c>
      <c r="D102" s="275">
        <f t="shared" si="28"/>
        <v>0</v>
      </c>
      <c r="E102" s="275">
        <f t="shared" si="28"/>
        <v>0</v>
      </c>
      <c r="F102" s="275">
        <f t="shared" si="28"/>
        <v>0</v>
      </c>
      <c r="G102" s="275">
        <f t="shared" si="28"/>
        <v>0</v>
      </c>
      <c r="H102" s="275">
        <f t="shared" si="28"/>
        <v>0</v>
      </c>
    </row>
    <row r="103" spans="1:9">
      <c r="A103" s="10" t="str">
        <f t="shared" si="26"/>
        <v>Tomato</v>
      </c>
      <c r="B103" s="10">
        <f t="shared" si="27"/>
        <v>0</v>
      </c>
      <c r="C103" s="275">
        <f t="shared" si="28"/>
        <v>0</v>
      </c>
      <c r="D103" s="275">
        <f>(C103/C100)*D100</f>
        <v>0</v>
      </c>
      <c r="E103" s="275">
        <f>(D103/D100)*E100</f>
        <v>0</v>
      </c>
      <c r="F103" s="275">
        <f>(E103/E100)*F100</f>
        <v>0</v>
      </c>
      <c r="G103" s="275">
        <f>(F103/F100)*G100</f>
        <v>0</v>
      </c>
      <c r="H103" s="275">
        <f>(G103/G100)*H100</f>
        <v>0</v>
      </c>
    </row>
    <row r="104" spans="1:9">
      <c r="A104" s="10" t="str">
        <f t="shared" si="26"/>
        <v>Okra</v>
      </c>
      <c r="B104" s="10">
        <f t="shared" si="27"/>
        <v>0</v>
      </c>
      <c r="C104" s="275">
        <f t="shared" si="28"/>
        <v>0</v>
      </c>
      <c r="D104" s="275">
        <f t="shared" si="28"/>
        <v>0</v>
      </c>
      <c r="E104" s="275">
        <f t="shared" si="28"/>
        <v>0</v>
      </c>
      <c r="F104" s="275">
        <f t="shared" si="28"/>
        <v>0</v>
      </c>
      <c r="G104" s="275">
        <f t="shared" si="28"/>
        <v>0</v>
      </c>
      <c r="H104" s="275">
        <f t="shared" si="28"/>
        <v>0</v>
      </c>
    </row>
    <row r="105" spans="1:9">
      <c r="A105" s="10" t="str">
        <f t="shared" si="26"/>
        <v>Chilli</v>
      </c>
      <c r="B105" s="10">
        <f t="shared" si="27"/>
        <v>0</v>
      </c>
      <c r="C105" s="275">
        <f t="shared" si="28"/>
        <v>0</v>
      </c>
      <c r="D105" s="275">
        <f t="shared" si="28"/>
        <v>0</v>
      </c>
      <c r="E105" s="275">
        <f t="shared" si="28"/>
        <v>0</v>
      </c>
      <c r="F105" s="275">
        <f t="shared" si="28"/>
        <v>0</v>
      </c>
      <c r="G105" s="275">
        <f t="shared" si="28"/>
        <v>0</v>
      </c>
      <c r="H105" s="275">
        <f t="shared" si="28"/>
        <v>0</v>
      </c>
    </row>
    <row r="106" spans="1:9">
      <c r="A106" s="10" t="str">
        <f t="shared" si="26"/>
        <v>Potato</v>
      </c>
      <c r="B106" s="346">
        <f t="shared" si="27"/>
        <v>0</v>
      </c>
      <c r="C106" s="275">
        <f t="shared" si="28"/>
        <v>0</v>
      </c>
      <c r="D106" s="275">
        <f t="shared" si="28"/>
        <v>0</v>
      </c>
      <c r="E106" s="275">
        <f t="shared" si="28"/>
        <v>0</v>
      </c>
      <c r="F106" s="275">
        <f t="shared" si="28"/>
        <v>0</v>
      </c>
      <c r="G106" s="275">
        <f t="shared" si="28"/>
        <v>0</v>
      </c>
      <c r="H106" s="275">
        <f t="shared" si="28"/>
        <v>0</v>
      </c>
    </row>
    <row r="107" spans="1:9">
      <c r="A107" s="10">
        <f t="shared" si="26"/>
        <v>0</v>
      </c>
      <c r="B107" s="10">
        <f t="shared" si="27"/>
        <v>0</v>
      </c>
      <c r="C107" s="275">
        <f t="shared" si="28"/>
        <v>0</v>
      </c>
      <c r="D107" s="275">
        <f t="shared" si="28"/>
        <v>0</v>
      </c>
      <c r="E107" s="275">
        <f t="shared" si="28"/>
        <v>0</v>
      </c>
      <c r="F107" s="275">
        <f t="shared" si="28"/>
        <v>0</v>
      </c>
      <c r="G107" s="275">
        <f t="shared" si="28"/>
        <v>0</v>
      </c>
      <c r="H107" s="275">
        <f t="shared" si="28"/>
        <v>0</v>
      </c>
    </row>
    <row r="108" spans="1:9">
      <c r="A108" s="10">
        <f t="shared" si="26"/>
        <v>0</v>
      </c>
      <c r="B108" s="10">
        <f t="shared" si="27"/>
        <v>0</v>
      </c>
      <c r="C108" s="275">
        <f t="shared" si="28"/>
        <v>0</v>
      </c>
      <c r="D108" s="275">
        <f t="shared" si="28"/>
        <v>0</v>
      </c>
      <c r="E108" s="275">
        <f t="shared" si="28"/>
        <v>0</v>
      </c>
      <c r="F108" s="275">
        <f t="shared" si="28"/>
        <v>0</v>
      </c>
      <c r="G108" s="275">
        <f t="shared" si="28"/>
        <v>0</v>
      </c>
      <c r="H108" s="275">
        <f t="shared" si="28"/>
        <v>0</v>
      </c>
    </row>
    <row r="109" spans="1:9">
      <c r="A109" s="10">
        <f t="shared" si="26"/>
        <v>0</v>
      </c>
      <c r="B109" s="10">
        <f t="shared" si="27"/>
        <v>0</v>
      </c>
      <c r="C109" s="275">
        <f t="shared" si="28"/>
        <v>0</v>
      </c>
      <c r="D109" s="275">
        <f t="shared" si="28"/>
        <v>0</v>
      </c>
      <c r="E109" s="275">
        <f t="shared" si="28"/>
        <v>0</v>
      </c>
      <c r="F109" s="275">
        <f t="shared" si="28"/>
        <v>0</v>
      </c>
      <c r="G109" s="275">
        <f t="shared" si="28"/>
        <v>0</v>
      </c>
      <c r="H109" s="275">
        <f t="shared" si="28"/>
        <v>0</v>
      </c>
    </row>
    <row r="110" spans="1:9">
      <c r="A110" s="10">
        <f t="shared" si="26"/>
        <v>0</v>
      </c>
      <c r="B110" s="10">
        <f t="shared" si="27"/>
        <v>0</v>
      </c>
      <c r="C110" s="275">
        <f t="shared" si="28"/>
        <v>0</v>
      </c>
      <c r="D110" s="275">
        <f t="shared" si="28"/>
        <v>0</v>
      </c>
      <c r="E110" s="275">
        <f t="shared" si="28"/>
        <v>0</v>
      </c>
      <c r="F110" s="275">
        <f t="shared" si="28"/>
        <v>0</v>
      </c>
      <c r="G110" s="275">
        <f t="shared" si="28"/>
        <v>0</v>
      </c>
      <c r="H110" s="275">
        <f t="shared" si="28"/>
        <v>0</v>
      </c>
    </row>
    <row r="111" spans="1:9">
      <c r="A111" s="10" t="str">
        <f t="shared" si="26"/>
        <v>Onion</v>
      </c>
      <c r="B111" s="10">
        <f t="shared" ref="B111:B118" si="29">D24*$B$100</f>
        <v>0</v>
      </c>
      <c r="C111" s="275">
        <f t="shared" si="28"/>
        <v>0</v>
      </c>
      <c r="D111" s="275">
        <f t="shared" si="28"/>
        <v>0</v>
      </c>
      <c r="E111" s="275">
        <f t="shared" si="28"/>
        <v>0</v>
      </c>
      <c r="F111" s="275">
        <f t="shared" si="28"/>
        <v>0</v>
      </c>
      <c r="G111" s="275">
        <f t="shared" si="28"/>
        <v>0</v>
      </c>
      <c r="H111" s="275">
        <f t="shared" si="28"/>
        <v>0</v>
      </c>
    </row>
    <row r="112" spans="1:9">
      <c r="A112" s="10" t="str">
        <f t="shared" si="26"/>
        <v>Tomato</v>
      </c>
      <c r="B112" s="10">
        <f t="shared" si="29"/>
        <v>0</v>
      </c>
      <c r="C112" s="275">
        <f t="shared" si="28"/>
        <v>0</v>
      </c>
      <c r="D112" s="275">
        <f t="shared" si="28"/>
        <v>0</v>
      </c>
      <c r="E112" s="275">
        <f t="shared" si="28"/>
        <v>0</v>
      </c>
      <c r="F112" s="275">
        <f t="shared" si="28"/>
        <v>0</v>
      </c>
      <c r="G112" s="275">
        <f t="shared" si="28"/>
        <v>0</v>
      </c>
      <c r="H112" s="275">
        <f t="shared" si="28"/>
        <v>0</v>
      </c>
    </row>
    <row r="113" spans="1:9">
      <c r="A113" s="10" t="str">
        <f t="shared" si="26"/>
        <v>Okra</v>
      </c>
      <c r="B113" s="10">
        <f t="shared" si="29"/>
        <v>0</v>
      </c>
      <c r="C113" s="275">
        <f t="shared" si="28"/>
        <v>0</v>
      </c>
      <c r="D113" s="275">
        <f t="shared" si="28"/>
        <v>0</v>
      </c>
      <c r="E113" s="275">
        <f t="shared" si="28"/>
        <v>0</v>
      </c>
      <c r="F113" s="275">
        <f t="shared" si="28"/>
        <v>0</v>
      </c>
      <c r="G113" s="275">
        <f t="shared" si="28"/>
        <v>0</v>
      </c>
      <c r="H113" s="275">
        <f t="shared" si="28"/>
        <v>0</v>
      </c>
    </row>
    <row r="114" spans="1:9">
      <c r="A114" s="10" t="str">
        <f t="shared" si="26"/>
        <v>Chilli</v>
      </c>
      <c r="B114" s="10">
        <f t="shared" si="29"/>
        <v>0</v>
      </c>
      <c r="C114" s="275">
        <f t="shared" si="28"/>
        <v>0</v>
      </c>
      <c r="D114" s="275">
        <f t="shared" si="28"/>
        <v>0</v>
      </c>
      <c r="E114" s="275">
        <f t="shared" si="28"/>
        <v>0</v>
      </c>
      <c r="F114" s="275">
        <f t="shared" si="28"/>
        <v>0</v>
      </c>
      <c r="G114" s="275">
        <f t="shared" si="28"/>
        <v>0</v>
      </c>
      <c r="H114" s="275">
        <f t="shared" si="28"/>
        <v>0</v>
      </c>
    </row>
    <row r="115" spans="1:9">
      <c r="A115" s="10" t="str">
        <f t="shared" si="26"/>
        <v>Brinjal</v>
      </c>
      <c r="B115" s="10">
        <f t="shared" si="29"/>
        <v>0</v>
      </c>
      <c r="C115" s="275">
        <f t="shared" si="28"/>
        <v>0</v>
      </c>
      <c r="D115" s="275">
        <f t="shared" si="28"/>
        <v>0</v>
      </c>
      <c r="E115" s="275">
        <f t="shared" si="28"/>
        <v>0</v>
      </c>
      <c r="F115" s="275">
        <f t="shared" si="28"/>
        <v>0</v>
      </c>
      <c r="G115" s="275">
        <f t="shared" si="28"/>
        <v>0</v>
      </c>
      <c r="H115" s="275">
        <f t="shared" si="28"/>
        <v>0</v>
      </c>
    </row>
    <row r="116" spans="1:9">
      <c r="A116" s="10">
        <f t="shared" si="26"/>
        <v>0</v>
      </c>
      <c r="B116" s="10">
        <f t="shared" si="29"/>
        <v>0</v>
      </c>
      <c r="C116" s="275">
        <f t="shared" si="28"/>
        <v>0</v>
      </c>
      <c r="D116" s="275">
        <f t="shared" si="28"/>
        <v>0</v>
      </c>
      <c r="E116" s="275">
        <f t="shared" si="28"/>
        <v>0</v>
      </c>
      <c r="F116" s="275">
        <f t="shared" si="28"/>
        <v>0</v>
      </c>
      <c r="G116" s="275">
        <f t="shared" si="28"/>
        <v>0</v>
      </c>
      <c r="H116" s="275">
        <f t="shared" si="28"/>
        <v>0</v>
      </c>
    </row>
    <row r="117" spans="1:9">
      <c r="A117" s="10">
        <f t="shared" si="26"/>
        <v>0</v>
      </c>
      <c r="B117" s="10">
        <f t="shared" si="29"/>
        <v>0</v>
      </c>
      <c r="C117" s="275">
        <f t="shared" si="28"/>
        <v>0</v>
      </c>
      <c r="D117" s="275">
        <f t="shared" si="28"/>
        <v>0</v>
      </c>
      <c r="E117" s="275">
        <f t="shared" si="28"/>
        <v>0</v>
      </c>
      <c r="F117" s="275">
        <f t="shared" si="28"/>
        <v>0</v>
      </c>
      <c r="G117" s="275">
        <f t="shared" si="28"/>
        <v>0</v>
      </c>
      <c r="H117" s="275">
        <f t="shared" si="28"/>
        <v>0</v>
      </c>
    </row>
    <row r="118" spans="1:9">
      <c r="A118" s="10">
        <f t="shared" si="26"/>
        <v>0</v>
      </c>
      <c r="B118" s="10">
        <f t="shared" si="29"/>
        <v>0</v>
      </c>
      <c r="C118" s="275">
        <f t="shared" ref="C118:H126" si="30">(B118/B$100)*C$100</f>
        <v>0</v>
      </c>
      <c r="D118" s="275">
        <f t="shared" si="30"/>
        <v>0</v>
      </c>
      <c r="E118" s="275">
        <f t="shared" si="30"/>
        <v>0</v>
      </c>
      <c r="F118" s="275">
        <f t="shared" si="30"/>
        <v>0</v>
      </c>
      <c r="G118" s="275">
        <f t="shared" si="30"/>
        <v>0</v>
      </c>
      <c r="H118" s="275">
        <f t="shared" si="30"/>
        <v>0</v>
      </c>
    </row>
    <row r="119" spans="1:9">
      <c r="A119" s="10">
        <f t="shared" si="26"/>
        <v>0</v>
      </c>
      <c r="B119" s="10">
        <f t="shared" ref="B119:B126" si="31">D33*$B$100</f>
        <v>0</v>
      </c>
      <c r="C119" s="275">
        <f t="shared" si="30"/>
        <v>0</v>
      </c>
      <c r="D119" s="275">
        <f t="shared" si="30"/>
        <v>0</v>
      </c>
      <c r="E119" s="275">
        <f t="shared" si="30"/>
        <v>0</v>
      </c>
      <c r="F119" s="275">
        <f t="shared" si="30"/>
        <v>0</v>
      </c>
      <c r="G119" s="275">
        <f t="shared" si="30"/>
        <v>0</v>
      </c>
      <c r="H119" s="275">
        <f t="shared" si="30"/>
        <v>0</v>
      </c>
    </row>
    <row r="120" spans="1:9">
      <c r="A120" s="10">
        <f t="shared" si="26"/>
        <v>0</v>
      </c>
      <c r="B120" s="10">
        <f t="shared" si="31"/>
        <v>0</v>
      </c>
      <c r="C120" s="275">
        <f t="shared" si="30"/>
        <v>0</v>
      </c>
      <c r="D120" s="275">
        <f t="shared" ref="D120:G122" si="32">(C120/C$100)*D$100</f>
        <v>0</v>
      </c>
      <c r="E120" s="275">
        <f t="shared" si="32"/>
        <v>0</v>
      </c>
      <c r="F120" s="275">
        <f t="shared" si="32"/>
        <v>0</v>
      </c>
      <c r="G120" s="275">
        <f t="shared" si="32"/>
        <v>0</v>
      </c>
      <c r="H120" s="275">
        <f t="shared" si="30"/>
        <v>0</v>
      </c>
    </row>
    <row r="121" spans="1:9">
      <c r="A121" s="10">
        <f t="shared" si="26"/>
        <v>0</v>
      </c>
      <c r="B121" s="10">
        <f t="shared" si="31"/>
        <v>0</v>
      </c>
      <c r="C121" s="275">
        <f t="shared" si="30"/>
        <v>0</v>
      </c>
      <c r="D121" s="275">
        <f t="shared" si="32"/>
        <v>0</v>
      </c>
      <c r="E121" s="275">
        <f t="shared" si="32"/>
        <v>0</v>
      </c>
      <c r="F121" s="275">
        <f t="shared" si="32"/>
        <v>0</v>
      </c>
      <c r="G121" s="275">
        <f t="shared" si="32"/>
        <v>0</v>
      </c>
      <c r="H121" s="275">
        <f t="shared" si="30"/>
        <v>0</v>
      </c>
    </row>
    <row r="122" spans="1:9">
      <c r="A122" s="10">
        <f t="shared" si="26"/>
        <v>0</v>
      </c>
      <c r="B122" s="10">
        <f t="shared" si="31"/>
        <v>0</v>
      </c>
      <c r="C122" s="275">
        <f t="shared" si="30"/>
        <v>0</v>
      </c>
      <c r="D122" s="275">
        <f t="shared" si="32"/>
        <v>0</v>
      </c>
      <c r="E122" s="275">
        <f t="shared" si="32"/>
        <v>0</v>
      </c>
      <c r="F122" s="275">
        <f t="shared" si="32"/>
        <v>0</v>
      </c>
      <c r="G122" s="275">
        <f t="shared" si="32"/>
        <v>0</v>
      </c>
      <c r="H122" s="275">
        <f t="shared" si="30"/>
        <v>0</v>
      </c>
    </row>
    <row r="123" spans="1:9">
      <c r="A123" s="10" t="str">
        <f t="shared" si="26"/>
        <v>Pomegranate</v>
      </c>
      <c r="B123" s="10">
        <f t="shared" si="31"/>
        <v>0</v>
      </c>
      <c r="C123" s="275">
        <f t="shared" si="30"/>
        <v>0</v>
      </c>
      <c r="D123" s="275">
        <f t="shared" si="30"/>
        <v>0</v>
      </c>
      <c r="E123" s="275">
        <f t="shared" si="30"/>
        <v>0</v>
      </c>
      <c r="F123" s="275">
        <f t="shared" si="30"/>
        <v>0</v>
      </c>
      <c r="G123" s="275">
        <f t="shared" si="30"/>
        <v>0</v>
      </c>
      <c r="H123" s="275">
        <f t="shared" si="30"/>
        <v>0</v>
      </c>
    </row>
    <row r="124" spans="1:9">
      <c r="A124" s="10" t="str">
        <f t="shared" si="26"/>
        <v>Custard Apple</v>
      </c>
      <c r="B124" s="10">
        <f t="shared" si="31"/>
        <v>0</v>
      </c>
      <c r="C124" s="275">
        <f t="shared" si="30"/>
        <v>0</v>
      </c>
      <c r="D124" s="275">
        <f>(C124/C$100)*D$100</f>
        <v>0</v>
      </c>
      <c r="E124" s="275">
        <f>(D124/D$100)*E$100</f>
        <v>0</v>
      </c>
      <c r="F124" s="275">
        <f>(E124/E$100)*F$100</f>
        <v>0</v>
      </c>
      <c r="G124" s="275">
        <f>(F124/F$100)*G$100</f>
        <v>0</v>
      </c>
      <c r="H124" s="275">
        <f t="shared" si="30"/>
        <v>0</v>
      </c>
    </row>
    <row r="125" spans="1:9">
      <c r="A125" s="10" t="str">
        <f t="shared" si="26"/>
        <v>Guava</v>
      </c>
      <c r="B125" s="10">
        <f t="shared" si="31"/>
        <v>0</v>
      </c>
      <c r="C125" s="275">
        <f t="shared" si="30"/>
        <v>0</v>
      </c>
      <c r="D125" s="275">
        <f t="shared" si="30"/>
        <v>0</v>
      </c>
      <c r="E125" s="275">
        <f t="shared" si="30"/>
        <v>0</v>
      </c>
      <c r="F125" s="275">
        <f t="shared" si="30"/>
        <v>0</v>
      </c>
      <c r="G125" s="275">
        <f t="shared" si="30"/>
        <v>0</v>
      </c>
      <c r="H125" s="275">
        <f t="shared" si="30"/>
        <v>0</v>
      </c>
    </row>
    <row r="126" spans="1:9">
      <c r="A126" s="10" t="str">
        <f t="shared" si="26"/>
        <v>Citrus</v>
      </c>
      <c r="B126" s="10">
        <f t="shared" si="31"/>
        <v>0</v>
      </c>
      <c r="C126" s="275">
        <f t="shared" si="30"/>
        <v>0</v>
      </c>
      <c r="D126" s="275">
        <f t="shared" si="30"/>
        <v>0</v>
      </c>
      <c r="E126" s="275">
        <f t="shared" si="30"/>
        <v>0</v>
      </c>
      <c r="F126" s="275">
        <f t="shared" si="30"/>
        <v>0</v>
      </c>
      <c r="G126" s="275">
        <f t="shared" si="30"/>
        <v>0</v>
      </c>
      <c r="H126" s="275">
        <f t="shared" si="30"/>
        <v>0</v>
      </c>
    </row>
    <row r="128" spans="1:9">
      <c r="C128" s="4"/>
      <c r="D128" s="6"/>
      <c r="E128" s="6"/>
      <c r="F128" s="6"/>
      <c r="G128" s="6"/>
      <c r="H128" s="6"/>
      <c r="I128" s="6"/>
    </row>
    <row r="129" spans="1:9">
      <c r="A129" t="s">
        <v>564</v>
      </c>
      <c r="C129" s="285"/>
      <c r="D129" s="285"/>
      <c r="E129" s="285"/>
      <c r="F129" s="285"/>
      <c r="G129" s="285"/>
      <c r="H129" s="285"/>
      <c r="I129" s="285"/>
    </row>
    <row r="130" spans="1:9">
      <c r="A130">
        <v>1</v>
      </c>
      <c r="B130" t="s">
        <v>565</v>
      </c>
    </row>
    <row r="131" spans="1:9">
      <c r="A131">
        <v>2</v>
      </c>
      <c r="B131" t="s">
        <v>566</v>
      </c>
    </row>
    <row r="132" spans="1:9">
      <c r="A132">
        <v>3</v>
      </c>
      <c r="B132" t="s">
        <v>567</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89" zoomScale="80" zoomScaleSheetLayoutView="80" workbookViewId="0">
      <selection activeCell="C285" sqref="C285"/>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416" t="s">
        <v>602</v>
      </c>
      <c r="B2" s="416"/>
      <c r="C2" s="416"/>
      <c r="D2" s="416"/>
      <c r="E2" s="416"/>
      <c r="F2" s="416"/>
      <c r="G2" s="416"/>
      <c r="H2" s="416"/>
    </row>
    <row r="3" spans="1:8" ht="17.5">
      <c r="A3" s="416" t="s">
        <v>603</v>
      </c>
      <c r="B3" s="416"/>
      <c r="C3" s="416"/>
      <c r="D3" s="416"/>
      <c r="E3" s="416"/>
      <c r="F3" s="416"/>
      <c r="G3" s="416"/>
      <c r="H3" s="416"/>
    </row>
    <row r="4" spans="1:8">
      <c r="B4" s="87"/>
      <c r="C4" s="87"/>
      <c r="D4" s="87"/>
      <c r="E4" s="87"/>
      <c r="F4" s="417" t="s">
        <v>490</v>
      </c>
      <c r="G4" s="417"/>
      <c r="H4" s="417"/>
    </row>
    <row r="5" spans="1:8">
      <c r="A5" s="87" t="s">
        <v>163</v>
      </c>
      <c r="B5" s="222">
        <f>(2*1000)/100</f>
        <v>20</v>
      </c>
      <c r="C5" s="87" t="s">
        <v>466</v>
      </c>
      <c r="D5" s="87"/>
      <c r="E5" s="87"/>
      <c r="F5" s="260" t="s">
        <v>491</v>
      </c>
      <c r="G5" s="260" t="s">
        <v>492</v>
      </c>
      <c r="H5" s="87"/>
    </row>
    <row r="6" spans="1:8">
      <c r="A6" s="87" t="s">
        <v>164</v>
      </c>
      <c r="B6" s="250">
        <v>8</v>
      </c>
      <c r="C6" s="87"/>
      <c r="D6" s="87"/>
      <c r="E6" s="87"/>
      <c r="F6" s="10" t="s">
        <v>488</v>
      </c>
      <c r="G6" s="292">
        <v>0.03</v>
      </c>
      <c r="H6" s="87"/>
    </row>
    <row r="7" spans="1:8">
      <c r="A7" s="87"/>
      <c r="B7" s="87"/>
      <c r="C7" s="87"/>
      <c r="D7" s="87"/>
      <c r="E7" s="87"/>
      <c r="F7" s="10" t="s">
        <v>489</v>
      </c>
      <c r="G7" s="292">
        <v>0.05</v>
      </c>
      <c r="H7" s="87"/>
    </row>
    <row r="8" spans="1:8">
      <c r="A8" s="87" t="s">
        <v>537</v>
      </c>
      <c r="B8" s="87">
        <v>300</v>
      </c>
      <c r="C8" s="87"/>
      <c r="D8" s="87"/>
      <c r="E8" s="87"/>
      <c r="F8" s="10"/>
      <c r="G8" s="292"/>
      <c r="H8" s="87"/>
    </row>
    <row r="9" spans="1:8">
      <c r="A9" s="141" t="s">
        <v>0</v>
      </c>
      <c r="B9" s="113" t="s">
        <v>2</v>
      </c>
      <c r="C9" s="113" t="s">
        <v>3</v>
      </c>
      <c r="D9" s="113" t="s">
        <v>4</v>
      </c>
      <c r="E9" s="113" t="s">
        <v>5</v>
      </c>
      <c r="F9" s="113" t="s">
        <v>6</v>
      </c>
      <c r="G9" s="113" t="s">
        <v>171</v>
      </c>
      <c r="H9" s="113" t="s">
        <v>170</v>
      </c>
    </row>
    <row r="10" spans="1:8">
      <c r="A10" s="88" t="s">
        <v>465</v>
      </c>
      <c r="B10" s="269">
        <f>B33/($B$5*$B$6)</f>
        <v>0</v>
      </c>
      <c r="C10" s="269">
        <f t="shared" ref="C10:H10" si="0">C33/($B$5*$B$6)</f>
        <v>0</v>
      </c>
      <c r="D10" s="269">
        <f t="shared" si="0"/>
        <v>0</v>
      </c>
      <c r="E10" s="269">
        <f t="shared" si="0"/>
        <v>0</v>
      </c>
      <c r="F10" s="269">
        <f t="shared" si="0"/>
        <v>0</v>
      </c>
      <c r="G10" s="269">
        <f t="shared" si="0"/>
        <v>0</v>
      </c>
      <c r="H10" s="269">
        <f t="shared" si="0"/>
        <v>0</v>
      </c>
    </row>
    <row r="11" spans="1:8">
      <c r="A11" s="194" t="str">
        <f>'10.Grain Production details'!A42</f>
        <v>Soybean</v>
      </c>
      <c r="B11" s="194">
        <f>'10.Grain Production details'!B42</f>
        <v>0</v>
      </c>
      <c r="C11" s="194">
        <f>'10.Grain Production details'!C42</f>
        <v>0</v>
      </c>
      <c r="D11" s="194">
        <f>'10.Grain Production details'!D42</f>
        <v>0</v>
      </c>
      <c r="E11" s="194">
        <f>'10.Grain Production details'!E42</f>
        <v>0</v>
      </c>
      <c r="F11" s="194">
        <f>'10.Grain Production details'!F42</f>
        <v>0</v>
      </c>
      <c r="G11" s="194">
        <f>'10.Grain Production details'!G42</f>
        <v>0</v>
      </c>
      <c r="H11" s="194">
        <f>'10.Grain Production details'!H42</f>
        <v>0</v>
      </c>
    </row>
    <row r="12" spans="1:8">
      <c r="A12" s="194" t="str">
        <f>'10.Grain Production details'!A43</f>
        <v>Red Gram/Tur</v>
      </c>
      <c r="B12" s="194">
        <f>'10.Grain Production details'!B43</f>
        <v>0</v>
      </c>
      <c r="C12" s="194">
        <f>'10.Grain Production details'!C43</f>
        <v>0</v>
      </c>
      <c r="D12" s="194">
        <f>'10.Grain Production details'!D43</f>
        <v>0</v>
      </c>
      <c r="E12" s="194">
        <f>'10.Grain Production details'!E43</f>
        <v>0</v>
      </c>
      <c r="F12" s="194">
        <f>'10.Grain Production details'!F43</f>
        <v>0</v>
      </c>
      <c r="G12" s="194">
        <f>'10.Grain Production details'!G43</f>
        <v>0</v>
      </c>
      <c r="H12" s="194">
        <f>'10.Grain Production details'!H43</f>
        <v>0</v>
      </c>
    </row>
    <row r="13" spans="1:8">
      <c r="A13" s="194" t="str">
        <f>'10.Grain Production details'!A44</f>
        <v>Paddy/Rice</v>
      </c>
      <c r="B13" s="194">
        <f>'10.Grain Production details'!B44</f>
        <v>0</v>
      </c>
      <c r="C13" s="194">
        <f>'10.Grain Production details'!C44</f>
        <v>0</v>
      </c>
      <c r="D13" s="194">
        <f>'10.Grain Production details'!D44</f>
        <v>0</v>
      </c>
      <c r="E13" s="194">
        <f>'10.Grain Production details'!E44</f>
        <v>0</v>
      </c>
      <c r="F13" s="194">
        <f>'10.Grain Production details'!F44</f>
        <v>0</v>
      </c>
      <c r="G13" s="194">
        <f>'10.Grain Production details'!G44</f>
        <v>0</v>
      </c>
      <c r="H13" s="194">
        <f>'10.Grain Production details'!H44</f>
        <v>0</v>
      </c>
    </row>
    <row r="14" spans="1:8">
      <c r="A14" s="194" t="str">
        <f>'10.Grain Production details'!A45</f>
        <v>Green Gram/ Moong</v>
      </c>
      <c r="B14" s="194">
        <f>'10.Grain Production details'!B45</f>
        <v>0</v>
      </c>
      <c r="C14" s="194">
        <f>'10.Grain Production details'!C45</f>
        <v>0</v>
      </c>
      <c r="D14" s="194">
        <f>'10.Grain Production details'!D45</f>
        <v>0</v>
      </c>
      <c r="E14" s="194">
        <f>'10.Grain Production details'!E45</f>
        <v>0</v>
      </c>
      <c r="F14" s="194">
        <f>'10.Grain Production details'!F45</f>
        <v>0</v>
      </c>
      <c r="G14" s="194">
        <f>'10.Grain Production details'!G45</f>
        <v>0</v>
      </c>
      <c r="H14" s="194">
        <f>'10.Grain Production details'!H45</f>
        <v>0</v>
      </c>
    </row>
    <row r="15" spans="1:8">
      <c r="A15" s="194" t="str">
        <f>'10.Grain Production details'!A46</f>
        <v>Maize</v>
      </c>
      <c r="B15" s="194">
        <f>'10.Grain Production details'!B46</f>
        <v>0</v>
      </c>
      <c r="C15" s="194">
        <f>'10.Grain Production details'!C46</f>
        <v>0</v>
      </c>
      <c r="D15" s="194">
        <f>'10.Grain Production details'!D46</f>
        <v>0</v>
      </c>
      <c r="E15" s="194">
        <f>'10.Grain Production details'!E46</f>
        <v>0</v>
      </c>
      <c r="F15" s="194">
        <f>'10.Grain Production details'!F46</f>
        <v>0</v>
      </c>
      <c r="G15" s="194">
        <f>'10.Grain Production details'!G46</f>
        <v>0</v>
      </c>
      <c r="H15" s="194">
        <f>'10.Grain Production details'!H46</f>
        <v>0</v>
      </c>
    </row>
    <row r="16" spans="1:8">
      <c r="A16" s="194" t="str">
        <f>'10.Grain Production details'!A47</f>
        <v>Black Gram/Udid</v>
      </c>
      <c r="B16" s="194">
        <f>'10.Grain Production details'!B47</f>
        <v>0</v>
      </c>
      <c r="C16" s="194">
        <f>'10.Grain Production details'!C47</f>
        <v>0</v>
      </c>
      <c r="D16" s="194">
        <f>'10.Grain Production details'!D47</f>
        <v>0</v>
      </c>
      <c r="E16" s="194">
        <f>'10.Grain Production details'!E47</f>
        <v>0</v>
      </c>
      <c r="F16" s="194">
        <f>'10.Grain Production details'!F47</f>
        <v>0</v>
      </c>
      <c r="G16" s="194">
        <f>'10.Grain Production details'!G47</f>
        <v>0</v>
      </c>
      <c r="H16" s="194">
        <f>'10.Grain Production details'!H47</f>
        <v>0</v>
      </c>
    </row>
    <row r="17" spans="1:8">
      <c r="A17" s="194" t="str">
        <f>'10.Grain Production details'!A48</f>
        <v>Bajra</v>
      </c>
      <c r="B17" s="194">
        <f>'10.Grain Production details'!B48</f>
        <v>0</v>
      </c>
      <c r="C17" s="194">
        <f>'10.Grain Production details'!C48</f>
        <v>0</v>
      </c>
      <c r="D17" s="194">
        <f>'10.Grain Production details'!D48</f>
        <v>0</v>
      </c>
      <c r="E17" s="194">
        <f>'10.Grain Production details'!E48</f>
        <v>0</v>
      </c>
      <c r="F17" s="194">
        <f>'10.Grain Production details'!F48</f>
        <v>0</v>
      </c>
      <c r="G17" s="194">
        <f>'10.Grain Production details'!G48</f>
        <v>0</v>
      </c>
      <c r="H17" s="194">
        <f>'10.Grain Production details'!H48</f>
        <v>0</v>
      </c>
    </row>
    <row r="18" spans="1:8">
      <c r="A18" s="194" t="str">
        <f>'10.Grain Production details'!A49</f>
        <v>Bengal Gram/Channa</v>
      </c>
      <c r="B18" s="194">
        <f>'10.Grain Production details'!B49</f>
        <v>0</v>
      </c>
      <c r="C18" s="194">
        <f>'10.Grain Production details'!C49</f>
        <v>0</v>
      </c>
      <c r="D18" s="194">
        <f>'10.Grain Production details'!D49</f>
        <v>0</v>
      </c>
      <c r="E18" s="194">
        <f>'10.Grain Production details'!E49</f>
        <v>0</v>
      </c>
      <c r="F18" s="194">
        <f>'10.Grain Production details'!F49</f>
        <v>0</v>
      </c>
      <c r="G18" s="194">
        <f>'10.Grain Production details'!G49</f>
        <v>0</v>
      </c>
      <c r="H18" s="194">
        <f>'10.Grain Production details'!H49</f>
        <v>0</v>
      </c>
    </row>
    <row r="19" spans="1:8">
      <c r="A19" s="194" t="str">
        <f>'10.Grain Production details'!A50</f>
        <v>Sunflower</v>
      </c>
      <c r="B19" s="194">
        <f>'10.Grain Production details'!B50</f>
        <v>0</v>
      </c>
      <c r="C19" s="194">
        <f>'10.Grain Production details'!C50</f>
        <v>0</v>
      </c>
      <c r="D19" s="194">
        <f>'10.Grain Production details'!D50</f>
        <v>0</v>
      </c>
      <c r="E19" s="194">
        <f>'10.Grain Production details'!E50</f>
        <v>0</v>
      </c>
      <c r="F19" s="194">
        <f>'10.Grain Production details'!F50</f>
        <v>0</v>
      </c>
      <c r="G19" s="194">
        <f>'10.Grain Production details'!G50</f>
        <v>0</v>
      </c>
      <c r="H19" s="194">
        <f>'10.Grain Production details'!H50</f>
        <v>0</v>
      </c>
    </row>
    <row r="20" spans="1:8">
      <c r="A20" s="194" t="str">
        <f>'10.Grain Production details'!A51</f>
        <v>Wheat</v>
      </c>
      <c r="B20" s="194">
        <f>'10.Grain Production details'!B51</f>
        <v>0</v>
      </c>
      <c r="C20" s="194">
        <f>'10.Grain Production details'!C51</f>
        <v>0</v>
      </c>
      <c r="D20" s="194">
        <f>'10.Grain Production details'!D51</f>
        <v>0</v>
      </c>
      <c r="E20" s="194">
        <f>'10.Grain Production details'!E51</f>
        <v>0</v>
      </c>
      <c r="F20" s="194">
        <f>'10.Grain Production details'!F51</f>
        <v>0</v>
      </c>
      <c r="G20" s="194">
        <f>'10.Grain Production details'!G51</f>
        <v>0</v>
      </c>
      <c r="H20" s="194">
        <f>'10.Grain Production details'!H51</f>
        <v>0</v>
      </c>
    </row>
    <row r="21" spans="1:8">
      <c r="A21" s="194" t="str">
        <f>'10.Grain Production details'!A52</f>
        <v>Bengal Gram/Channa</v>
      </c>
      <c r="B21" s="194">
        <f>'10.Grain Production details'!B52</f>
        <v>0</v>
      </c>
      <c r="C21" s="194">
        <f>'10.Grain Production details'!C52</f>
        <v>0</v>
      </c>
      <c r="D21" s="194">
        <f>'10.Grain Production details'!D52</f>
        <v>0</v>
      </c>
      <c r="E21" s="194">
        <f>'10.Grain Production details'!E52</f>
        <v>0</v>
      </c>
      <c r="F21" s="194">
        <f>'10.Grain Production details'!F52</f>
        <v>0</v>
      </c>
      <c r="G21" s="194">
        <f>'10.Grain Production details'!G52</f>
        <v>0</v>
      </c>
      <c r="H21" s="194">
        <f>'10.Grain Production details'!H52</f>
        <v>0</v>
      </c>
    </row>
    <row r="22" spans="1:8">
      <c r="A22" s="194" t="str">
        <f>'10.Grain Production details'!A53</f>
        <v>Jawar</v>
      </c>
      <c r="B22" s="194">
        <f>'10.Grain Production details'!B53</f>
        <v>0</v>
      </c>
      <c r="C22" s="194">
        <f>'10.Grain Production details'!C53</f>
        <v>0</v>
      </c>
      <c r="D22" s="194">
        <f>'10.Grain Production details'!D53</f>
        <v>0</v>
      </c>
      <c r="E22" s="194">
        <f>'10.Grain Production details'!E53</f>
        <v>0</v>
      </c>
      <c r="F22" s="194">
        <f>'10.Grain Production details'!F53</f>
        <v>0</v>
      </c>
      <c r="G22" s="194">
        <f>'10.Grain Production details'!G53</f>
        <v>0</v>
      </c>
      <c r="H22" s="194">
        <f>'10.Grain Production details'!H53</f>
        <v>0</v>
      </c>
    </row>
    <row r="23" spans="1:8">
      <c r="A23" s="194" t="str">
        <f>'10.Grain Production details'!A54</f>
        <v>Maize</v>
      </c>
      <c r="B23" s="194">
        <f>'10.Grain Production details'!B54</f>
        <v>0</v>
      </c>
      <c r="C23" s="194">
        <f>'10.Grain Production details'!C54</f>
        <v>0</v>
      </c>
      <c r="D23" s="194">
        <f>'10.Grain Production details'!D54</f>
        <v>0</v>
      </c>
      <c r="E23" s="194">
        <f>'10.Grain Production details'!E54</f>
        <v>0</v>
      </c>
      <c r="F23" s="194">
        <f>'10.Grain Production details'!F54</f>
        <v>0</v>
      </c>
      <c r="G23" s="194">
        <f>'10.Grain Production details'!G54</f>
        <v>0</v>
      </c>
      <c r="H23" s="194">
        <f>'10.Grain Production details'!H54</f>
        <v>0</v>
      </c>
    </row>
    <row r="24" spans="1:8">
      <c r="A24" s="194" t="str">
        <f>'10.Grain Production details'!A55</f>
        <v>Safflower</v>
      </c>
      <c r="B24" s="194">
        <f>'10.Grain Production details'!B55</f>
        <v>0</v>
      </c>
      <c r="C24" s="194">
        <f>'10.Grain Production details'!C55</f>
        <v>0</v>
      </c>
      <c r="D24" s="194">
        <f>'10.Grain Production details'!D55</f>
        <v>0</v>
      </c>
      <c r="E24" s="194">
        <f>'10.Grain Production details'!E55</f>
        <v>0</v>
      </c>
      <c r="F24" s="194">
        <f>'10.Grain Production details'!F55</f>
        <v>0</v>
      </c>
      <c r="G24" s="194">
        <f>'10.Grain Production details'!G55</f>
        <v>0</v>
      </c>
      <c r="H24" s="194">
        <f>'10.Grain Production details'!H55</f>
        <v>0</v>
      </c>
    </row>
    <row r="25" spans="1:8">
      <c r="A25" s="194">
        <f>'10.Grain Production details'!A56</f>
        <v>0</v>
      </c>
      <c r="B25" s="194">
        <f>'10.Grain Production details'!B56</f>
        <v>0</v>
      </c>
      <c r="C25" s="194">
        <f>'10.Grain Production details'!C56</f>
        <v>0</v>
      </c>
      <c r="D25" s="194">
        <f>'10.Grain Production details'!D56</f>
        <v>0</v>
      </c>
      <c r="E25" s="194">
        <f>'10.Grain Production details'!E56</f>
        <v>0</v>
      </c>
      <c r="F25" s="194">
        <f>'10.Grain Production details'!F56</f>
        <v>0</v>
      </c>
      <c r="G25" s="194">
        <f>'10.Grain Production details'!G56</f>
        <v>0</v>
      </c>
      <c r="H25" s="194">
        <f>'10.Grain Production details'!H56</f>
        <v>0</v>
      </c>
    </row>
    <row r="26" spans="1:8">
      <c r="A26" s="194">
        <f>'10.Grain Production details'!A57</f>
        <v>0</v>
      </c>
      <c r="B26" s="194">
        <f>'10.Grain Production details'!B57</f>
        <v>0</v>
      </c>
      <c r="C26" s="194">
        <f>'10.Grain Production details'!C57</f>
        <v>0</v>
      </c>
      <c r="D26" s="194">
        <f>'10.Grain Production details'!D57</f>
        <v>0</v>
      </c>
      <c r="E26" s="194">
        <f>'10.Grain Production details'!E57</f>
        <v>0</v>
      </c>
      <c r="F26" s="194">
        <f>'10.Grain Production details'!F57</f>
        <v>0</v>
      </c>
      <c r="G26" s="194">
        <f>'10.Grain Production details'!G57</f>
        <v>0</v>
      </c>
      <c r="H26" s="194">
        <f>'10.Grain Production details'!H57</f>
        <v>0</v>
      </c>
    </row>
    <row r="27" spans="1:8">
      <c r="A27" s="194">
        <f>'10.Grain Production details'!A58</f>
        <v>0</v>
      </c>
      <c r="B27" s="194">
        <f>'10.Grain Production details'!B58</f>
        <v>0</v>
      </c>
      <c r="C27" s="194">
        <f>'10.Grain Production details'!C58</f>
        <v>0</v>
      </c>
      <c r="D27" s="194">
        <f>'10.Grain Production details'!D58</f>
        <v>0</v>
      </c>
      <c r="E27" s="194">
        <f>'10.Grain Production details'!E58</f>
        <v>0</v>
      </c>
      <c r="F27" s="194">
        <f>'10.Grain Production details'!F58</f>
        <v>0</v>
      </c>
      <c r="G27" s="194">
        <f>'10.Grain Production details'!G58</f>
        <v>0</v>
      </c>
      <c r="H27" s="194">
        <f>'10.Grain Production details'!H58</f>
        <v>0</v>
      </c>
    </row>
    <row r="28" spans="1:8">
      <c r="A28" s="194" t="str">
        <f>'10.Grain Production details'!A59</f>
        <v>Groundnut</v>
      </c>
      <c r="B28" s="194">
        <f>'10.Grain Production details'!B59</f>
        <v>0</v>
      </c>
      <c r="C28" s="194">
        <f>'10.Grain Production details'!C59</f>
        <v>0</v>
      </c>
      <c r="D28" s="194">
        <f>'10.Grain Production details'!D59</f>
        <v>0</v>
      </c>
      <c r="E28" s="194">
        <f>'10.Grain Production details'!E59</f>
        <v>0</v>
      </c>
      <c r="F28" s="194">
        <f>'10.Grain Production details'!F59</f>
        <v>0</v>
      </c>
      <c r="G28" s="194">
        <f>'10.Grain Production details'!G59</f>
        <v>0</v>
      </c>
      <c r="H28" s="194">
        <f>'10.Grain Production details'!H59</f>
        <v>0</v>
      </c>
    </row>
    <row r="29" spans="1:8">
      <c r="A29" s="194" t="str">
        <f>'10.Grain Production details'!A60</f>
        <v>Bengal Gram/Channa</v>
      </c>
      <c r="B29" s="194">
        <f>'10.Grain Production details'!B60</f>
        <v>0</v>
      </c>
      <c r="C29" s="194">
        <f>'10.Grain Production details'!C60</f>
        <v>0</v>
      </c>
      <c r="D29" s="194">
        <f>'10.Grain Production details'!D60</f>
        <v>0</v>
      </c>
      <c r="E29" s="194">
        <f>'10.Grain Production details'!E60</f>
        <v>0</v>
      </c>
      <c r="F29" s="194">
        <f>'10.Grain Production details'!F60</f>
        <v>0</v>
      </c>
      <c r="G29" s="194">
        <f>'10.Grain Production details'!G60</f>
        <v>0</v>
      </c>
      <c r="H29" s="194">
        <f>'10.Grain Production details'!H60</f>
        <v>0</v>
      </c>
    </row>
    <row r="30" spans="1:8">
      <c r="A30" s="194">
        <f>'10.Grain Production details'!A61</f>
        <v>0</v>
      </c>
      <c r="B30" s="194">
        <f>'10.Grain Production details'!B61</f>
        <v>0</v>
      </c>
      <c r="C30" s="194">
        <f>'10.Grain Production details'!C61</f>
        <v>0</v>
      </c>
      <c r="D30" s="194">
        <f>'10.Grain Production details'!D61</f>
        <v>0</v>
      </c>
      <c r="E30" s="194">
        <f>'10.Grain Production details'!E61</f>
        <v>0</v>
      </c>
      <c r="F30" s="194">
        <f>'10.Grain Production details'!F61</f>
        <v>0</v>
      </c>
      <c r="G30" s="194">
        <f>'10.Grain Production details'!G61</f>
        <v>0</v>
      </c>
      <c r="H30" s="194">
        <f>'10.Grain Production details'!H61</f>
        <v>0</v>
      </c>
    </row>
    <row r="31" spans="1:8">
      <c r="A31" s="194">
        <f>'10.Grain Production details'!A62</f>
        <v>0</v>
      </c>
      <c r="B31" s="194">
        <f>'10.Grain Production details'!B62</f>
        <v>0</v>
      </c>
      <c r="C31" s="194">
        <f>'10.Grain Production details'!C62</f>
        <v>0</v>
      </c>
      <c r="D31" s="194">
        <f>'10.Grain Production details'!D62</f>
        <v>0</v>
      </c>
      <c r="E31" s="194">
        <f>'10.Grain Production details'!E62</f>
        <v>0</v>
      </c>
      <c r="F31" s="194">
        <f>'10.Grain Production details'!F62</f>
        <v>0</v>
      </c>
      <c r="G31" s="194">
        <f>'10.Grain Production details'!G62</f>
        <v>0</v>
      </c>
      <c r="H31" s="194">
        <f>'10.Grain Production details'!H62</f>
        <v>0</v>
      </c>
    </row>
    <row r="32" spans="1:8">
      <c r="A32" s="194">
        <f>'10.Grain Production details'!B63</f>
        <v>0</v>
      </c>
      <c r="B32" s="194">
        <f>'10.Grain Production details'!C63</f>
        <v>0</v>
      </c>
      <c r="C32" s="194">
        <f>'10.Grain Production details'!D63</f>
        <v>0</v>
      </c>
      <c r="D32" s="194">
        <f>'10.Grain Production details'!E63</f>
        <v>0</v>
      </c>
      <c r="E32" s="194">
        <f>'10.Grain Production details'!F63</f>
        <v>0</v>
      </c>
      <c r="F32" s="194">
        <f>'10.Grain Production details'!G63</f>
        <v>0</v>
      </c>
      <c r="G32" s="194">
        <f>'10.Grain Production details'!H63</f>
        <v>0</v>
      </c>
      <c r="H32" s="194">
        <f>'10.Grain Production details'!I63</f>
        <v>0</v>
      </c>
    </row>
    <row r="33" spans="1:8">
      <c r="A33" s="90" t="s">
        <v>534</v>
      </c>
      <c r="B33" s="194">
        <f t="shared" ref="B33:H33" si="1">SUM(B11:B32)</f>
        <v>0</v>
      </c>
      <c r="C33" s="194">
        <f t="shared" si="1"/>
        <v>0</v>
      </c>
      <c r="D33" s="194">
        <f t="shared" si="1"/>
        <v>0</v>
      </c>
      <c r="E33" s="194">
        <f t="shared" si="1"/>
        <v>0</v>
      </c>
      <c r="F33" s="194">
        <f t="shared" si="1"/>
        <v>0</v>
      </c>
      <c r="G33" s="194">
        <f t="shared" si="1"/>
        <v>0</v>
      </c>
      <c r="H33" s="194">
        <f t="shared" si="1"/>
        <v>0</v>
      </c>
    </row>
    <row r="34" spans="1:8">
      <c r="A34" s="194" t="str">
        <f>'11.F&amp;V Crop Production details'!A1:H1</f>
        <v>Fruit  &amp; Vegetables Crop Production Details</v>
      </c>
      <c r="B34" s="194"/>
      <c r="C34" s="194"/>
      <c r="D34" s="194"/>
      <c r="E34" s="194"/>
      <c r="F34" s="194"/>
      <c r="G34" s="194"/>
      <c r="H34" s="194"/>
    </row>
    <row r="35" spans="1:8">
      <c r="A35" s="194" t="str">
        <f>'11.F&amp;V Crop Production details'!A46</f>
        <v>Onion</v>
      </c>
      <c r="B35" s="194">
        <f>'11.F&amp;V Crop Production details'!B46</f>
        <v>0</v>
      </c>
      <c r="C35" s="194">
        <f>'11.F&amp;V Crop Production details'!C46</f>
        <v>0</v>
      </c>
      <c r="D35" s="194">
        <f>'11.F&amp;V Crop Production details'!D46</f>
        <v>0</v>
      </c>
      <c r="E35" s="194">
        <f>'11.F&amp;V Crop Production details'!E46</f>
        <v>0</v>
      </c>
      <c r="F35" s="194">
        <f>'11.F&amp;V Crop Production details'!F46</f>
        <v>0</v>
      </c>
      <c r="G35" s="194">
        <f>'11.F&amp;V Crop Production details'!G46</f>
        <v>0</v>
      </c>
      <c r="H35" s="194">
        <f>'11.F&amp;V Crop Production details'!H46</f>
        <v>0</v>
      </c>
    </row>
    <row r="36" spans="1:8">
      <c r="A36" s="194" t="str">
        <f>'11.F&amp;V Crop Production details'!A47</f>
        <v>Tomato</v>
      </c>
      <c r="B36" s="194">
        <f>'11.F&amp;V Crop Production details'!B47</f>
        <v>0</v>
      </c>
      <c r="C36" s="194">
        <f>'11.F&amp;V Crop Production details'!C47</f>
        <v>0</v>
      </c>
      <c r="D36" s="194">
        <f>'11.F&amp;V Crop Production details'!D47</f>
        <v>0</v>
      </c>
      <c r="E36" s="194">
        <f>'11.F&amp;V Crop Production details'!E47</f>
        <v>0</v>
      </c>
      <c r="F36" s="194">
        <f>'11.F&amp;V Crop Production details'!F47</f>
        <v>0</v>
      </c>
      <c r="G36" s="194">
        <f>'11.F&amp;V Crop Production details'!G47</f>
        <v>0</v>
      </c>
      <c r="H36" s="194">
        <f>'11.F&amp;V Crop Production details'!H47</f>
        <v>0</v>
      </c>
    </row>
    <row r="37" spans="1:8">
      <c r="A37" s="194" t="str">
        <f>'11.F&amp;V Crop Production details'!A48</f>
        <v>Okra</v>
      </c>
      <c r="B37" s="194">
        <f>'11.F&amp;V Crop Production details'!B48</f>
        <v>0</v>
      </c>
      <c r="C37" s="194">
        <f>'11.F&amp;V Crop Production details'!C48</f>
        <v>0</v>
      </c>
      <c r="D37" s="194">
        <f>'11.F&amp;V Crop Production details'!D48</f>
        <v>0</v>
      </c>
      <c r="E37" s="194">
        <f>'11.F&amp;V Crop Production details'!E48</f>
        <v>0</v>
      </c>
      <c r="F37" s="194">
        <f>'11.F&amp;V Crop Production details'!F48</f>
        <v>0</v>
      </c>
      <c r="G37" s="194">
        <f>'11.F&amp;V Crop Production details'!G48</f>
        <v>0</v>
      </c>
      <c r="H37" s="194">
        <f>'11.F&amp;V Crop Production details'!H48</f>
        <v>0</v>
      </c>
    </row>
    <row r="38" spans="1:8">
      <c r="A38" s="194" t="str">
        <f>'11.F&amp;V Crop Production details'!A49</f>
        <v>Chilli</v>
      </c>
      <c r="B38" s="194">
        <f>'11.F&amp;V Crop Production details'!B49</f>
        <v>0</v>
      </c>
      <c r="C38" s="194">
        <f>'11.F&amp;V Crop Production details'!C49</f>
        <v>0</v>
      </c>
      <c r="D38" s="194">
        <f>'11.F&amp;V Crop Production details'!D49</f>
        <v>0</v>
      </c>
      <c r="E38" s="194">
        <f>'11.F&amp;V Crop Production details'!E49</f>
        <v>0</v>
      </c>
      <c r="F38" s="194">
        <f>'11.F&amp;V Crop Production details'!F49</f>
        <v>0</v>
      </c>
      <c r="G38" s="194">
        <f>'11.F&amp;V Crop Production details'!G49</f>
        <v>0</v>
      </c>
      <c r="H38" s="194">
        <f>'11.F&amp;V Crop Production details'!H49</f>
        <v>0</v>
      </c>
    </row>
    <row r="39" spans="1:8">
      <c r="A39" s="194" t="str">
        <f>'11.F&amp;V Crop Production details'!A50</f>
        <v>Potato</v>
      </c>
      <c r="B39" s="194">
        <f>'11.F&amp;V Crop Production details'!B50</f>
        <v>0</v>
      </c>
      <c r="C39" s="194">
        <f>'11.F&amp;V Crop Production details'!C50</f>
        <v>0</v>
      </c>
      <c r="D39" s="194">
        <f>'11.F&amp;V Crop Production details'!D50</f>
        <v>0</v>
      </c>
      <c r="E39" s="194">
        <f>'11.F&amp;V Crop Production details'!E50</f>
        <v>0</v>
      </c>
      <c r="F39" s="194">
        <f>'11.F&amp;V Crop Production details'!F50</f>
        <v>0</v>
      </c>
      <c r="G39" s="194">
        <f>'11.F&amp;V Crop Production details'!G50</f>
        <v>0</v>
      </c>
      <c r="H39" s="194">
        <f>'11.F&amp;V Crop Production details'!H50</f>
        <v>0</v>
      </c>
    </row>
    <row r="40" spans="1:8">
      <c r="A40" s="194">
        <f>'11.F&amp;V Crop Production details'!A51</f>
        <v>0</v>
      </c>
      <c r="B40" s="194">
        <f>'11.F&amp;V Crop Production details'!B51</f>
        <v>0</v>
      </c>
      <c r="C40" s="194">
        <f>'11.F&amp;V Crop Production details'!C51</f>
        <v>0</v>
      </c>
      <c r="D40" s="194">
        <f>'11.F&amp;V Crop Production details'!D51</f>
        <v>0</v>
      </c>
      <c r="E40" s="194">
        <f>'11.F&amp;V Crop Production details'!E51</f>
        <v>0</v>
      </c>
      <c r="F40" s="194">
        <f>'11.F&amp;V Crop Production details'!F51</f>
        <v>0</v>
      </c>
      <c r="G40" s="194">
        <f>'11.F&amp;V Crop Production details'!G51</f>
        <v>0</v>
      </c>
      <c r="H40" s="194">
        <f>'11.F&amp;V Crop Production details'!H51</f>
        <v>0</v>
      </c>
    </row>
    <row r="41" spans="1:8">
      <c r="A41" s="194">
        <f>'11.F&amp;V Crop Production details'!A52</f>
        <v>0</v>
      </c>
      <c r="B41" s="194">
        <f>'11.F&amp;V Crop Production details'!B52</f>
        <v>0</v>
      </c>
      <c r="C41" s="194">
        <f>'11.F&amp;V Crop Production details'!C52</f>
        <v>0</v>
      </c>
      <c r="D41" s="194">
        <f>'11.F&amp;V Crop Production details'!D52</f>
        <v>0</v>
      </c>
      <c r="E41" s="194">
        <f>'11.F&amp;V Crop Production details'!E52</f>
        <v>0</v>
      </c>
      <c r="F41" s="194">
        <f>'11.F&amp;V Crop Production details'!F52</f>
        <v>0</v>
      </c>
      <c r="G41" s="194">
        <f>'11.F&amp;V Crop Production details'!G52</f>
        <v>0</v>
      </c>
      <c r="H41" s="194">
        <f>'11.F&amp;V Crop Production details'!H52</f>
        <v>0</v>
      </c>
    </row>
    <row r="42" spans="1:8">
      <c r="A42" s="194">
        <f>'11.F&amp;V Crop Production details'!A53</f>
        <v>0</v>
      </c>
      <c r="B42" s="194">
        <f>'11.F&amp;V Crop Production details'!B53</f>
        <v>0</v>
      </c>
      <c r="C42" s="194">
        <f>'11.F&amp;V Crop Production details'!C53</f>
        <v>0</v>
      </c>
      <c r="D42" s="194">
        <f>'11.F&amp;V Crop Production details'!D53</f>
        <v>0</v>
      </c>
      <c r="E42" s="194">
        <f>'11.F&amp;V Crop Production details'!E53</f>
        <v>0</v>
      </c>
      <c r="F42" s="194">
        <f>'11.F&amp;V Crop Production details'!F53</f>
        <v>0</v>
      </c>
      <c r="G42" s="194">
        <f>'11.F&amp;V Crop Production details'!G53</f>
        <v>0</v>
      </c>
      <c r="H42" s="194">
        <f>'11.F&amp;V Crop Production details'!H53</f>
        <v>0</v>
      </c>
    </row>
    <row r="43" spans="1:8">
      <c r="A43" s="194">
        <f>'11.F&amp;V Crop Production details'!A54</f>
        <v>0</v>
      </c>
      <c r="B43" s="194">
        <f>'11.F&amp;V Crop Production details'!B54</f>
        <v>0</v>
      </c>
      <c r="C43" s="194">
        <f>'11.F&amp;V Crop Production details'!C54</f>
        <v>0</v>
      </c>
      <c r="D43" s="194">
        <f>'11.F&amp;V Crop Production details'!D54</f>
        <v>0</v>
      </c>
      <c r="E43" s="194">
        <f>'11.F&amp;V Crop Production details'!E54</f>
        <v>0</v>
      </c>
      <c r="F43" s="194">
        <f>'11.F&amp;V Crop Production details'!F54</f>
        <v>0</v>
      </c>
      <c r="G43" s="194">
        <f>'11.F&amp;V Crop Production details'!G54</f>
        <v>0</v>
      </c>
      <c r="H43" s="194">
        <f>'11.F&amp;V Crop Production details'!H54</f>
        <v>0</v>
      </c>
    </row>
    <row r="44" spans="1:8">
      <c r="A44" s="194" t="str">
        <f>'11.F&amp;V Crop Production details'!A55</f>
        <v>Onion</v>
      </c>
      <c r="B44" s="194">
        <f>'11.F&amp;V Crop Production details'!B55</f>
        <v>0</v>
      </c>
      <c r="C44" s="194">
        <f>'11.F&amp;V Crop Production details'!C55</f>
        <v>0</v>
      </c>
      <c r="D44" s="194">
        <f>'11.F&amp;V Crop Production details'!D55</f>
        <v>0</v>
      </c>
      <c r="E44" s="194">
        <f>'11.F&amp;V Crop Production details'!E55</f>
        <v>0</v>
      </c>
      <c r="F44" s="194">
        <f>'11.F&amp;V Crop Production details'!F55</f>
        <v>0</v>
      </c>
      <c r="G44" s="194">
        <f>'11.F&amp;V Crop Production details'!G55</f>
        <v>0</v>
      </c>
      <c r="H44" s="194">
        <f>'11.F&amp;V Crop Production details'!H55</f>
        <v>0</v>
      </c>
    </row>
    <row r="45" spans="1:8">
      <c r="A45" s="194" t="str">
        <f>'11.F&amp;V Crop Production details'!A56</f>
        <v>Tomato</v>
      </c>
      <c r="B45" s="194">
        <f>'11.F&amp;V Crop Production details'!B56</f>
        <v>0</v>
      </c>
      <c r="C45" s="194">
        <f>'11.F&amp;V Crop Production details'!C56</f>
        <v>0</v>
      </c>
      <c r="D45" s="194">
        <f>'11.F&amp;V Crop Production details'!D56</f>
        <v>0</v>
      </c>
      <c r="E45" s="194">
        <f>'11.F&amp;V Crop Production details'!E56</f>
        <v>0</v>
      </c>
      <c r="F45" s="194">
        <f>'11.F&amp;V Crop Production details'!F56</f>
        <v>0</v>
      </c>
      <c r="G45" s="194">
        <f>'11.F&amp;V Crop Production details'!G56</f>
        <v>0</v>
      </c>
      <c r="H45" s="194">
        <f>'11.F&amp;V Crop Production details'!H56</f>
        <v>0</v>
      </c>
    </row>
    <row r="46" spans="1:8">
      <c r="A46" s="194" t="str">
        <f>'11.F&amp;V Crop Production details'!A57</f>
        <v>Okra</v>
      </c>
      <c r="B46" s="194">
        <f>'11.F&amp;V Crop Production details'!B57</f>
        <v>0</v>
      </c>
      <c r="C46" s="194">
        <f>'11.F&amp;V Crop Production details'!C57</f>
        <v>0</v>
      </c>
      <c r="D46" s="194">
        <f>'11.F&amp;V Crop Production details'!D57</f>
        <v>0</v>
      </c>
      <c r="E46" s="194">
        <f>'11.F&amp;V Crop Production details'!E57</f>
        <v>0</v>
      </c>
      <c r="F46" s="194">
        <f>'11.F&amp;V Crop Production details'!F57</f>
        <v>0</v>
      </c>
      <c r="G46" s="194">
        <f>'11.F&amp;V Crop Production details'!G57</f>
        <v>0</v>
      </c>
      <c r="H46" s="194">
        <f>'11.F&amp;V Crop Production details'!H57</f>
        <v>0</v>
      </c>
    </row>
    <row r="47" spans="1:8">
      <c r="A47" s="194" t="str">
        <f>'11.F&amp;V Crop Production details'!A58</f>
        <v>Chilli</v>
      </c>
      <c r="B47" s="194">
        <f>'11.F&amp;V Crop Production details'!B58</f>
        <v>0</v>
      </c>
      <c r="C47" s="194">
        <f>'11.F&amp;V Crop Production details'!C58</f>
        <v>0</v>
      </c>
      <c r="D47" s="194">
        <f>'11.F&amp;V Crop Production details'!D58</f>
        <v>0</v>
      </c>
      <c r="E47" s="194">
        <f>'11.F&amp;V Crop Production details'!E58</f>
        <v>0</v>
      </c>
      <c r="F47" s="194">
        <f>'11.F&amp;V Crop Production details'!F58</f>
        <v>0</v>
      </c>
      <c r="G47" s="194">
        <f>'11.F&amp;V Crop Production details'!G58</f>
        <v>0</v>
      </c>
      <c r="H47" s="194">
        <f>'11.F&amp;V Crop Production details'!H58</f>
        <v>0</v>
      </c>
    </row>
    <row r="48" spans="1:8">
      <c r="A48" s="194" t="str">
        <f>'11.F&amp;V Crop Production details'!A59</f>
        <v>Brinjal</v>
      </c>
      <c r="B48" s="194">
        <f>'11.F&amp;V Crop Production details'!B59</f>
        <v>0</v>
      </c>
      <c r="C48" s="194">
        <f>'11.F&amp;V Crop Production details'!C59</f>
        <v>0</v>
      </c>
      <c r="D48" s="194">
        <f>'11.F&amp;V Crop Production details'!D59</f>
        <v>0</v>
      </c>
      <c r="E48" s="194">
        <f>'11.F&amp;V Crop Production details'!E59</f>
        <v>0</v>
      </c>
      <c r="F48" s="194">
        <f>'11.F&amp;V Crop Production details'!F59</f>
        <v>0</v>
      </c>
      <c r="G48" s="194">
        <f>'11.F&amp;V Crop Production details'!G59</f>
        <v>0</v>
      </c>
      <c r="H48" s="194">
        <f>'11.F&amp;V Crop Production details'!H59</f>
        <v>0</v>
      </c>
    </row>
    <row r="49" spans="1:8">
      <c r="A49" s="194">
        <f>'11.F&amp;V Crop Production details'!A60</f>
        <v>0</v>
      </c>
      <c r="B49" s="194">
        <f>'11.F&amp;V Crop Production details'!B60</f>
        <v>0</v>
      </c>
      <c r="C49" s="194">
        <f>'11.F&amp;V Crop Production details'!C60</f>
        <v>0</v>
      </c>
      <c r="D49" s="194">
        <f>'11.F&amp;V Crop Production details'!D60</f>
        <v>0</v>
      </c>
      <c r="E49" s="194">
        <f>'11.F&amp;V Crop Production details'!E60</f>
        <v>0</v>
      </c>
      <c r="F49" s="194">
        <f>'11.F&amp;V Crop Production details'!F60</f>
        <v>0</v>
      </c>
      <c r="G49" s="194">
        <f>'11.F&amp;V Crop Production details'!G60</f>
        <v>0</v>
      </c>
      <c r="H49" s="194">
        <f>'11.F&amp;V Crop Production details'!H60</f>
        <v>0</v>
      </c>
    </row>
    <row r="50" spans="1:8">
      <c r="A50" s="194">
        <f>'11.F&amp;V Crop Production details'!A61</f>
        <v>0</v>
      </c>
      <c r="B50" s="194">
        <f>'11.F&amp;V Crop Production details'!B61</f>
        <v>0</v>
      </c>
      <c r="C50" s="194">
        <f>'11.F&amp;V Crop Production details'!C61</f>
        <v>0</v>
      </c>
      <c r="D50" s="194">
        <f>'11.F&amp;V Crop Production details'!D61</f>
        <v>0</v>
      </c>
      <c r="E50" s="194">
        <f>'11.F&amp;V Crop Production details'!E61</f>
        <v>0</v>
      </c>
      <c r="F50" s="194">
        <f>'11.F&amp;V Crop Production details'!F61</f>
        <v>0</v>
      </c>
      <c r="G50" s="194">
        <f>'11.F&amp;V Crop Production details'!G61</f>
        <v>0</v>
      </c>
      <c r="H50" s="194">
        <f>'11.F&amp;V Crop Production details'!H61</f>
        <v>0</v>
      </c>
    </row>
    <row r="51" spans="1:8">
      <c r="A51" s="194">
        <f>'11.F&amp;V Crop Production details'!A62</f>
        <v>0</v>
      </c>
      <c r="B51" s="194">
        <f>'11.F&amp;V Crop Production details'!B62</f>
        <v>0</v>
      </c>
      <c r="C51" s="194">
        <f>'11.F&amp;V Crop Production details'!C62</f>
        <v>0</v>
      </c>
      <c r="D51" s="194">
        <f>'11.F&amp;V Crop Production details'!D62</f>
        <v>0</v>
      </c>
      <c r="E51" s="194">
        <f>'11.F&amp;V Crop Production details'!E62</f>
        <v>0</v>
      </c>
      <c r="F51" s="194">
        <f>'11.F&amp;V Crop Production details'!F62</f>
        <v>0</v>
      </c>
      <c r="G51" s="194">
        <f>'11.F&amp;V Crop Production details'!G62</f>
        <v>0</v>
      </c>
      <c r="H51" s="194">
        <f>'11.F&amp;V Crop Production details'!H62</f>
        <v>0</v>
      </c>
    </row>
    <row r="52" spans="1:8">
      <c r="A52" s="194">
        <f>'11.F&amp;V Crop Production details'!A63</f>
        <v>0</v>
      </c>
      <c r="B52" s="194">
        <f>'11.F&amp;V Crop Production details'!B63</f>
        <v>0</v>
      </c>
      <c r="C52" s="194">
        <f>'11.F&amp;V Crop Production details'!C63</f>
        <v>0</v>
      </c>
      <c r="D52" s="194">
        <f>'11.F&amp;V Crop Production details'!D63</f>
        <v>0</v>
      </c>
      <c r="E52" s="194">
        <f>'11.F&amp;V Crop Production details'!E63</f>
        <v>0</v>
      </c>
      <c r="F52" s="194">
        <f>'11.F&amp;V Crop Production details'!F63</f>
        <v>0</v>
      </c>
      <c r="G52" s="194">
        <f>'11.F&amp;V Crop Production details'!G63</f>
        <v>0</v>
      </c>
      <c r="H52" s="194">
        <f>'11.F&amp;V Crop Production details'!H63</f>
        <v>0</v>
      </c>
    </row>
    <row r="53" spans="1:8">
      <c r="A53" s="194">
        <f>'11.F&amp;V Crop Production details'!A64</f>
        <v>0</v>
      </c>
      <c r="B53" s="194"/>
      <c r="C53" s="194"/>
      <c r="D53" s="194"/>
      <c r="E53" s="194"/>
      <c r="F53" s="194"/>
      <c r="G53" s="194"/>
      <c r="H53" s="194"/>
    </row>
    <row r="54" spans="1:8">
      <c r="A54" s="194">
        <f>'11.F&amp;V Crop Production details'!A65</f>
        <v>0</v>
      </c>
      <c r="B54" s="194"/>
      <c r="C54" s="194"/>
      <c r="D54" s="194"/>
      <c r="E54" s="194"/>
      <c r="F54" s="194"/>
      <c r="G54" s="194"/>
      <c r="H54" s="194"/>
    </row>
    <row r="55" spans="1:8">
      <c r="A55" s="194">
        <f>'11.F&amp;V Crop Production details'!A66</f>
        <v>0</v>
      </c>
      <c r="B55" s="194"/>
      <c r="C55" s="194"/>
      <c r="D55" s="194"/>
      <c r="E55" s="194"/>
      <c r="F55" s="194"/>
      <c r="G55" s="194"/>
      <c r="H55" s="194"/>
    </row>
    <row r="56" spans="1:8">
      <c r="A56" s="194" t="str">
        <f>'11.F&amp;V Crop Production details'!A67</f>
        <v>Pomegranate</v>
      </c>
      <c r="B56" s="194">
        <f>'11.F&amp;V Crop Production details'!B67</f>
        <v>0</v>
      </c>
      <c r="C56" s="194">
        <f>'11.F&amp;V Crop Production details'!C67</f>
        <v>0</v>
      </c>
      <c r="D56" s="194">
        <f>'11.F&amp;V Crop Production details'!D67</f>
        <v>0</v>
      </c>
      <c r="E56" s="194">
        <f>'11.F&amp;V Crop Production details'!E67</f>
        <v>0</v>
      </c>
      <c r="F56" s="194">
        <f>'11.F&amp;V Crop Production details'!F67</f>
        <v>0</v>
      </c>
      <c r="G56" s="194">
        <f>'11.F&amp;V Crop Production details'!G67</f>
        <v>0</v>
      </c>
      <c r="H56" s="194">
        <f>'11.F&amp;V Crop Production details'!H67</f>
        <v>0</v>
      </c>
    </row>
    <row r="57" spans="1:8">
      <c r="A57" s="194" t="str">
        <f>'11.F&amp;V Crop Production details'!A68</f>
        <v>Custard Apple</v>
      </c>
      <c r="B57" s="194">
        <f>'11.F&amp;V Crop Production details'!B68</f>
        <v>0</v>
      </c>
      <c r="C57" s="194">
        <f>'11.F&amp;V Crop Production details'!C68</f>
        <v>0</v>
      </c>
      <c r="D57" s="194">
        <f>'11.F&amp;V Crop Production details'!D68</f>
        <v>0</v>
      </c>
      <c r="E57" s="194">
        <f>'11.F&amp;V Crop Production details'!E68</f>
        <v>0</v>
      </c>
      <c r="F57" s="194">
        <f>'11.F&amp;V Crop Production details'!F68</f>
        <v>0</v>
      </c>
      <c r="G57" s="194">
        <f>'11.F&amp;V Crop Production details'!G68</f>
        <v>0</v>
      </c>
      <c r="H57" s="194">
        <f>'11.F&amp;V Crop Production details'!H68</f>
        <v>0</v>
      </c>
    </row>
    <row r="58" spans="1:8">
      <c r="A58" s="194" t="str">
        <f>'11.F&amp;V Crop Production details'!A69</f>
        <v>Guava</v>
      </c>
      <c r="B58" s="194">
        <f>'11.F&amp;V Crop Production details'!B69</f>
        <v>0</v>
      </c>
      <c r="C58" s="194">
        <f>'11.F&amp;V Crop Production details'!C69</f>
        <v>0</v>
      </c>
      <c r="D58" s="194">
        <f>'11.F&amp;V Crop Production details'!D69</f>
        <v>0</v>
      </c>
      <c r="E58" s="194">
        <f>'11.F&amp;V Crop Production details'!E69</f>
        <v>0</v>
      </c>
      <c r="F58" s="194">
        <f>'11.F&amp;V Crop Production details'!F69</f>
        <v>0</v>
      </c>
      <c r="G58" s="194">
        <f>'11.F&amp;V Crop Production details'!G69</f>
        <v>0</v>
      </c>
      <c r="H58" s="194">
        <f>'11.F&amp;V Crop Production details'!H69</f>
        <v>0</v>
      </c>
    </row>
    <row r="59" spans="1:8">
      <c r="A59" s="194" t="str">
        <f>'11.F&amp;V Crop Production details'!A70</f>
        <v>Citrus</v>
      </c>
      <c r="B59" s="194">
        <f>'11.F&amp;V Crop Production details'!B70</f>
        <v>0</v>
      </c>
      <c r="C59" s="194">
        <f>'11.F&amp;V Crop Production details'!C70</f>
        <v>0</v>
      </c>
      <c r="D59" s="194">
        <f>'11.F&amp;V Crop Production details'!D70</f>
        <v>0</v>
      </c>
      <c r="E59" s="194">
        <f>'11.F&amp;V Crop Production details'!E70</f>
        <v>0</v>
      </c>
      <c r="F59" s="194">
        <f>'11.F&amp;V Crop Production details'!F70</f>
        <v>0</v>
      </c>
      <c r="G59" s="194">
        <f>'11.F&amp;V Crop Production details'!G70</f>
        <v>0</v>
      </c>
      <c r="H59" s="194">
        <f>'11.F&amp;V Crop Production details'!H70</f>
        <v>0</v>
      </c>
    </row>
    <row r="60" spans="1:8">
      <c r="A60" s="194"/>
      <c r="B60" s="194"/>
      <c r="C60" s="194"/>
      <c r="D60" s="194"/>
      <c r="E60" s="194"/>
      <c r="F60" s="194"/>
      <c r="G60" s="194"/>
      <c r="H60" s="194"/>
    </row>
    <row r="61" spans="1:8">
      <c r="A61" s="90" t="s">
        <v>533</v>
      </c>
      <c r="B61" s="194">
        <f t="shared" ref="B61:H61" si="2">SUM(B35:B59)</f>
        <v>0</v>
      </c>
      <c r="C61" s="194">
        <f t="shared" si="2"/>
        <v>0</v>
      </c>
      <c r="D61" s="194">
        <f t="shared" si="2"/>
        <v>0</v>
      </c>
      <c r="E61" s="194">
        <f t="shared" si="2"/>
        <v>0</v>
      </c>
      <c r="F61" s="194">
        <f t="shared" si="2"/>
        <v>0</v>
      </c>
      <c r="G61" s="194">
        <f t="shared" si="2"/>
        <v>0</v>
      </c>
      <c r="H61" s="194">
        <f t="shared" si="2"/>
        <v>0</v>
      </c>
    </row>
    <row r="62" spans="1:8">
      <c r="A62" s="251" t="s">
        <v>535</v>
      </c>
      <c r="B62" s="270">
        <v>0.5</v>
      </c>
      <c r="C62" s="270">
        <v>0.5</v>
      </c>
      <c r="D62" s="270">
        <v>0.5</v>
      </c>
      <c r="E62" s="270">
        <v>0.5</v>
      </c>
      <c r="F62" s="270">
        <v>0.5</v>
      </c>
      <c r="G62" s="270">
        <v>0.5</v>
      </c>
      <c r="H62" s="270">
        <v>0.5</v>
      </c>
    </row>
    <row r="63" spans="1:8">
      <c r="A63" s="251" t="s">
        <v>536</v>
      </c>
      <c r="B63" s="270">
        <f t="shared" ref="B63:H63" si="3">1-B62</f>
        <v>0.5</v>
      </c>
      <c r="C63" s="270">
        <f t="shared" si="3"/>
        <v>0.5</v>
      </c>
      <c r="D63" s="270">
        <f t="shared" si="3"/>
        <v>0.5</v>
      </c>
      <c r="E63" s="270">
        <f t="shared" si="3"/>
        <v>0.5</v>
      </c>
      <c r="F63" s="270">
        <f t="shared" si="3"/>
        <v>0.5</v>
      </c>
      <c r="G63" s="270">
        <f t="shared" si="3"/>
        <v>0.5</v>
      </c>
      <c r="H63" s="270">
        <f t="shared" si="3"/>
        <v>0.5</v>
      </c>
    </row>
    <row r="64" spans="1:8">
      <c r="A64" s="251"/>
      <c r="B64" s="270"/>
      <c r="C64" s="270"/>
      <c r="D64" s="270"/>
      <c r="E64" s="270"/>
      <c r="F64" s="270"/>
      <c r="G64" s="270"/>
      <c r="H64" s="270"/>
    </row>
    <row r="65" spans="1:8">
      <c r="A65" s="251" t="s">
        <v>167</v>
      </c>
      <c r="B65" s="252">
        <f t="shared" ref="B65:H65" si="4">B33*B62</f>
        <v>0</v>
      </c>
      <c r="C65" s="252">
        <f t="shared" si="4"/>
        <v>0</v>
      </c>
      <c r="D65" s="252">
        <f t="shared" si="4"/>
        <v>0</v>
      </c>
      <c r="E65" s="252">
        <f t="shared" si="4"/>
        <v>0</v>
      </c>
      <c r="F65" s="252">
        <f t="shared" si="4"/>
        <v>0</v>
      </c>
      <c r="G65" s="252">
        <f t="shared" si="4"/>
        <v>0</v>
      </c>
      <c r="H65" s="252">
        <f t="shared" si="4"/>
        <v>0</v>
      </c>
    </row>
    <row r="66" spans="1:8">
      <c r="A66" s="90"/>
      <c r="B66" s="194"/>
      <c r="C66" s="194"/>
      <c r="D66" s="194"/>
      <c r="E66" s="194"/>
      <c r="F66" s="194"/>
      <c r="G66" s="194"/>
      <c r="H66" s="194"/>
    </row>
    <row r="67" spans="1:8">
      <c r="A67" s="90" t="s">
        <v>168</v>
      </c>
      <c r="B67" s="194"/>
      <c r="C67" s="194"/>
      <c r="D67" s="194"/>
      <c r="E67" s="194"/>
      <c r="F67" s="194"/>
      <c r="G67" s="194"/>
      <c r="H67" s="194"/>
    </row>
    <row r="68" spans="1:8">
      <c r="A68" s="88" t="str">
        <f t="shared" ref="A68:A89" si="5">A11</f>
        <v>Soybean</v>
      </c>
      <c r="B68" s="268">
        <f t="shared" ref="B68:B89" si="6">B11*$B$63</f>
        <v>0</v>
      </c>
      <c r="C68" s="268">
        <f t="shared" ref="C68:C83" si="7">C11*$C$63</f>
        <v>0</v>
      </c>
      <c r="D68" s="268">
        <f t="shared" ref="D68:D83" si="8">D11*$D$63</f>
        <v>0</v>
      </c>
      <c r="E68" s="268">
        <f t="shared" ref="E68:E83" si="9">E11*$E$63</f>
        <v>0</v>
      </c>
      <c r="F68" s="268">
        <f t="shared" ref="F68:F83" si="10">F11*$F$63</f>
        <v>0</v>
      </c>
      <c r="G68" s="268">
        <f t="shared" ref="G68:G83" si="11">G11*$G$63</f>
        <v>0</v>
      </c>
      <c r="H68" s="268">
        <f t="shared" ref="H68:H83" si="12">H11*$H$63</f>
        <v>0</v>
      </c>
    </row>
    <row r="69" spans="1:8">
      <c r="A69" s="88" t="str">
        <f t="shared" si="5"/>
        <v>Red Gram/Tur</v>
      </c>
      <c r="B69" s="268">
        <f t="shared" si="6"/>
        <v>0</v>
      </c>
      <c r="C69" s="268">
        <f t="shared" si="7"/>
        <v>0</v>
      </c>
      <c r="D69" s="268">
        <f t="shared" si="8"/>
        <v>0</v>
      </c>
      <c r="E69" s="268">
        <f t="shared" si="9"/>
        <v>0</v>
      </c>
      <c r="F69" s="268">
        <f t="shared" si="10"/>
        <v>0</v>
      </c>
      <c r="G69" s="268">
        <f t="shared" si="11"/>
        <v>0</v>
      </c>
      <c r="H69" s="268">
        <f t="shared" si="12"/>
        <v>0</v>
      </c>
    </row>
    <row r="70" spans="1:8">
      <c r="A70" s="88" t="str">
        <f t="shared" si="5"/>
        <v>Paddy/Rice</v>
      </c>
      <c r="B70" s="268">
        <f t="shared" si="6"/>
        <v>0</v>
      </c>
      <c r="C70" s="268">
        <f t="shared" si="7"/>
        <v>0</v>
      </c>
      <c r="D70" s="268">
        <f t="shared" si="8"/>
        <v>0</v>
      </c>
      <c r="E70" s="268">
        <f t="shared" si="9"/>
        <v>0</v>
      </c>
      <c r="F70" s="268">
        <f t="shared" si="10"/>
        <v>0</v>
      </c>
      <c r="G70" s="268">
        <f t="shared" si="11"/>
        <v>0</v>
      </c>
      <c r="H70" s="268">
        <f t="shared" si="12"/>
        <v>0</v>
      </c>
    </row>
    <row r="71" spans="1:8">
      <c r="A71" s="88" t="str">
        <f t="shared" si="5"/>
        <v>Green Gram/ Moong</v>
      </c>
      <c r="B71" s="268">
        <f t="shared" si="6"/>
        <v>0</v>
      </c>
      <c r="C71" s="268">
        <f t="shared" si="7"/>
        <v>0</v>
      </c>
      <c r="D71" s="268">
        <f t="shared" si="8"/>
        <v>0</v>
      </c>
      <c r="E71" s="268">
        <f t="shared" si="9"/>
        <v>0</v>
      </c>
      <c r="F71" s="268">
        <f t="shared" si="10"/>
        <v>0</v>
      </c>
      <c r="G71" s="268">
        <f t="shared" si="11"/>
        <v>0</v>
      </c>
      <c r="H71" s="268">
        <f t="shared" si="12"/>
        <v>0</v>
      </c>
    </row>
    <row r="72" spans="1:8">
      <c r="A72" s="88" t="str">
        <f t="shared" si="5"/>
        <v>Maize</v>
      </c>
      <c r="B72" s="268">
        <f t="shared" si="6"/>
        <v>0</v>
      </c>
      <c r="C72" s="268">
        <f t="shared" si="7"/>
        <v>0</v>
      </c>
      <c r="D72" s="268">
        <f t="shared" si="8"/>
        <v>0</v>
      </c>
      <c r="E72" s="268">
        <f t="shared" si="9"/>
        <v>0</v>
      </c>
      <c r="F72" s="268">
        <f t="shared" si="10"/>
        <v>0</v>
      </c>
      <c r="G72" s="268">
        <f t="shared" si="11"/>
        <v>0</v>
      </c>
      <c r="H72" s="268">
        <f t="shared" si="12"/>
        <v>0</v>
      </c>
    </row>
    <row r="73" spans="1:8">
      <c r="A73" s="88" t="str">
        <f t="shared" si="5"/>
        <v>Black Gram/Udid</v>
      </c>
      <c r="B73" s="268">
        <f t="shared" si="6"/>
        <v>0</v>
      </c>
      <c r="C73" s="268">
        <f t="shared" si="7"/>
        <v>0</v>
      </c>
      <c r="D73" s="268">
        <f t="shared" si="8"/>
        <v>0</v>
      </c>
      <c r="E73" s="268">
        <f t="shared" si="9"/>
        <v>0</v>
      </c>
      <c r="F73" s="268">
        <f t="shared" si="10"/>
        <v>0</v>
      </c>
      <c r="G73" s="268">
        <f t="shared" si="11"/>
        <v>0</v>
      </c>
      <c r="H73" s="268">
        <f t="shared" si="12"/>
        <v>0</v>
      </c>
    </row>
    <row r="74" spans="1:8">
      <c r="A74" s="88" t="str">
        <f t="shared" si="5"/>
        <v>Bajra</v>
      </c>
      <c r="B74" s="268">
        <f t="shared" si="6"/>
        <v>0</v>
      </c>
      <c r="C74" s="268">
        <f t="shared" si="7"/>
        <v>0</v>
      </c>
      <c r="D74" s="268">
        <f t="shared" si="8"/>
        <v>0</v>
      </c>
      <c r="E74" s="268">
        <f t="shared" si="9"/>
        <v>0</v>
      </c>
      <c r="F74" s="268">
        <f t="shared" si="10"/>
        <v>0</v>
      </c>
      <c r="G74" s="268">
        <f t="shared" si="11"/>
        <v>0</v>
      </c>
      <c r="H74" s="268">
        <f t="shared" si="12"/>
        <v>0</v>
      </c>
    </row>
    <row r="75" spans="1:8">
      <c r="A75" s="88" t="str">
        <f t="shared" si="5"/>
        <v>Bengal Gram/Channa</v>
      </c>
      <c r="B75" s="268">
        <f t="shared" si="6"/>
        <v>0</v>
      </c>
      <c r="C75" s="268">
        <f t="shared" si="7"/>
        <v>0</v>
      </c>
      <c r="D75" s="268">
        <f t="shared" si="8"/>
        <v>0</v>
      </c>
      <c r="E75" s="268">
        <f t="shared" si="9"/>
        <v>0</v>
      </c>
      <c r="F75" s="268">
        <f t="shared" si="10"/>
        <v>0</v>
      </c>
      <c r="G75" s="268">
        <f t="shared" si="11"/>
        <v>0</v>
      </c>
      <c r="H75" s="268">
        <f t="shared" si="12"/>
        <v>0</v>
      </c>
    </row>
    <row r="76" spans="1:8">
      <c r="A76" s="88" t="str">
        <f t="shared" si="5"/>
        <v>Sunflower</v>
      </c>
      <c r="B76" s="268">
        <f t="shared" si="6"/>
        <v>0</v>
      </c>
      <c r="C76" s="268">
        <f t="shared" si="7"/>
        <v>0</v>
      </c>
      <c r="D76" s="268">
        <f t="shared" si="8"/>
        <v>0</v>
      </c>
      <c r="E76" s="268">
        <f t="shared" si="9"/>
        <v>0</v>
      </c>
      <c r="F76" s="268">
        <f t="shared" si="10"/>
        <v>0</v>
      </c>
      <c r="G76" s="268">
        <f t="shared" si="11"/>
        <v>0</v>
      </c>
      <c r="H76" s="268">
        <f t="shared" si="12"/>
        <v>0</v>
      </c>
    </row>
    <row r="77" spans="1:8">
      <c r="A77" s="88" t="str">
        <f t="shared" si="5"/>
        <v>Wheat</v>
      </c>
      <c r="B77" s="268">
        <f t="shared" si="6"/>
        <v>0</v>
      </c>
      <c r="C77" s="268">
        <f t="shared" si="7"/>
        <v>0</v>
      </c>
      <c r="D77" s="268">
        <f t="shared" si="8"/>
        <v>0</v>
      </c>
      <c r="E77" s="268">
        <f t="shared" si="9"/>
        <v>0</v>
      </c>
      <c r="F77" s="268">
        <f t="shared" si="10"/>
        <v>0</v>
      </c>
      <c r="G77" s="268">
        <f t="shared" si="11"/>
        <v>0</v>
      </c>
      <c r="H77" s="268">
        <f t="shared" si="12"/>
        <v>0</v>
      </c>
    </row>
    <row r="78" spans="1:8">
      <c r="A78" s="88" t="str">
        <f t="shared" si="5"/>
        <v>Bengal Gram/Channa</v>
      </c>
      <c r="B78" s="268">
        <f t="shared" si="6"/>
        <v>0</v>
      </c>
      <c r="C78" s="268">
        <f t="shared" si="7"/>
        <v>0</v>
      </c>
      <c r="D78" s="268">
        <f t="shared" si="8"/>
        <v>0</v>
      </c>
      <c r="E78" s="268">
        <f t="shared" si="9"/>
        <v>0</v>
      </c>
      <c r="F78" s="268">
        <f t="shared" si="10"/>
        <v>0</v>
      </c>
      <c r="G78" s="268">
        <f t="shared" si="11"/>
        <v>0</v>
      </c>
      <c r="H78" s="268">
        <f t="shared" si="12"/>
        <v>0</v>
      </c>
    </row>
    <row r="79" spans="1:8">
      <c r="A79" s="88" t="str">
        <f t="shared" si="5"/>
        <v>Jawar</v>
      </c>
      <c r="B79" s="268">
        <f t="shared" si="6"/>
        <v>0</v>
      </c>
      <c r="C79" s="268">
        <f t="shared" si="7"/>
        <v>0</v>
      </c>
      <c r="D79" s="268">
        <f t="shared" si="8"/>
        <v>0</v>
      </c>
      <c r="E79" s="268">
        <f t="shared" si="9"/>
        <v>0</v>
      </c>
      <c r="F79" s="268">
        <f t="shared" si="10"/>
        <v>0</v>
      </c>
      <c r="G79" s="268">
        <f t="shared" si="11"/>
        <v>0</v>
      </c>
      <c r="H79" s="268">
        <f t="shared" si="12"/>
        <v>0</v>
      </c>
    </row>
    <row r="80" spans="1:8">
      <c r="A80" s="88" t="str">
        <f t="shared" si="5"/>
        <v>Maize</v>
      </c>
      <c r="B80" s="268">
        <f t="shared" si="6"/>
        <v>0</v>
      </c>
      <c r="C80" s="268">
        <f t="shared" si="7"/>
        <v>0</v>
      </c>
      <c r="D80" s="268">
        <f t="shared" si="8"/>
        <v>0</v>
      </c>
      <c r="E80" s="268">
        <f t="shared" si="9"/>
        <v>0</v>
      </c>
      <c r="F80" s="268">
        <f t="shared" si="10"/>
        <v>0</v>
      </c>
      <c r="G80" s="268">
        <f t="shared" si="11"/>
        <v>0</v>
      </c>
      <c r="H80" s="268">
        <f t="shared" si="12"/>
        <v>0</v>
      </c>
    </row>
    <row r="81" spans="1:12">
      <c r="A81" s="88" t="str">
        <f t="shared" si="5"/>
        <v>Safflower</v>
      </c>
      <c r="B81" s="268">
        <f t="shared" si="6"/>
        <v>0</v>
      </c>
      <c r="C81" s="268">
        <f t="shared" si="7"/>
        <v>0</v>
      </c>
      <c r="D81" s="268">
        <f t="shared" si="8"/>
        <v>0</v>
      </c>
      <c r="E81" s="268">
        <f t="shared" si="9"/>
        <v>0</v>
      </c>
      <c r="F81" s="268">
        <f t="shared" si="10"/>
        <v>0</v>
      </c>
      <c r="G81" s="268">
        <f t="shared" si="11"/>
        <v>0</v>
      </c>
      <c r="H81" s="268">
        <f t="shared" si="12"/>
        <v>0</v>
      </c>
    </row>
    <row r="82" spans="1:12">
      <c r="A82" s="88">
        <f t="shared" si="5"/>
        <v>0</v>
      </c>
      <c r="B82" s="268">
        <f t="shared" si="6"/>
        <v>0</v>
      </c>
      <c r="C82" s="268">
        <f t="shared" si="7"/>
        <v>0</v>
      </c>
      <c r="D82" s="268">
        <f t="shared" si="8"/>
        <v>0</v>
      </c>
      <c r="E82" s="268">
        <f t="shared" si="9"/>
        <v>0</v>
      </c>
      <c r="F82" s="268">
        <f t="shared" si="10"/>
        <v>0</v>
      </c>
      <c r="G82" s="268">
        <f t="shared" si="11"/>
        <v>0</v>
      </c>
      <c r="H82" s="268">
        <f t="shared" si="12"/>
        <v>0</v>
      </c>
    </row>
    <row r="83" spans="1:12">
      <c r="A83" s="88">
        <f t="shared" si="5"/>
        <v>0</v>
      </c>
      <c r="B83" s="268">
        <f t="shared" si="6"/>
        <v>0</v>
      </c>
      <c r="C83" s="268">
        <f t="shared" si="7"/>
        <v>0</v>
      </c>
      <c r="D83" s="268">
        <f t="shared" si="8"/>
        <v>0</v>
      </c>
      <c r="E83" s="268">
        <f t="shared" si="9"/>
        <v>0</v>
      </c>
      <c r="F83" s="268">
        <f t="shared" si="10"/>
        <v>0</v>
      </c>
      <c r="G83" s="268">
        <f t="shared" si="11"/>
        <v>0</v>
      </c>
      <c r="H83" s="268">
        <f t="shared" si="12"/>
        <v>0</v>
      </c>
    </row>
    <row r="84" spans="1:12">
      <c r="A84" s="88">
        <f t="shared" si="5"/>
        <v>0</v>
      </c>
      <c r="B84" s="268">
        <f t="shared" si="6"/>
        <v>0</v>
      </c>
      <c r="C84" s="268">
        <f t="shared" ref="C84:H89" si="13">C27*$B$63</f>
        <v>0</v>
      </c>
      <c r="D84" s="268">
        <f t="shared" si="13"/>
        <v>0</v>
      </c>
      <c r="E84" s="268">
        <f t="shared" si="13"/>
        <v>0</v>
      </c>
      <c r="F84" s="268">
        <f t="shared" si="13"/>
        <v>0</v>
      </c>
      <c r="G84" s="268">
        <f t="shared" si="13"/>
        <v>0</v>
      </c>
      <c r="H84" s="268">
        <f t="shared" si="13"/>
        <v>0</v>
      </c>
    </row>
    <row r="85" spans="1:12">
      <c r="A85" s="88" t="str">
        <f t="shared" si="5"/>
        <v>Groundnut</v>
      </c>
      <c r="B85" s="268">
        <f t="shared" si="6"/>
        <v>0</v>
      </c>
      <c r="C85" s="268">
        <f t="shared" si="13"/>
        <v>0</v>
      </c>
      <c r="D85" s="268">
        <f t="shared" si="13"/>
        <v>0</v>
      </c>
      <c r="E85" s="268">
        <f t="shared" si="13"/>
        <v>0</v>
      </c>
      <c r="F85" s="268">
        <f t="shared" si="13"/>
        <v>0</v>
      </c>
      <c r="G85" s="268">
        <f t="shared" si="13"/>
        <v>0</v>
      </c>
      <c r="H85" s="268">
        <f t="shared" si="13"/>
        <v>0</v>
      </c>
    </row>
    <row r="86" spans="1:12">
      <c r="A86" s="88" t="str">
        <f t="shared" si="5"/>
        <v>Bengal Gram/Channa</v>
      </c>
      <c r="B86" s="268">
        <f t="shared" si="6"/>
        <v>0</v>
      </c>
      <c r="C86" s="268">
        <f t="shared" si="13"/>
        <v>0</v>
      </c>
      <c r="D86" s="268">
        <f t="shared" si="13"/>
        <v>0</v>
      </c>
      <c r="E86" s="268">
        <f t="shared" si="13"/>
        <v>0</v>
      </c>
      <c r="F86" s="268">
        <f t="shared" si="13"/>
        <v>0</v>
      </c>
      <c r="G86" s="268">
        <f t="shared" si="13"/>
        <v>0</v>
      </c>
      <c r="H86" s="268">
        <f t="shared" si="13"/>
        <v>0</v>
      </c>
    </row>
    <row r="87" spans="1:12">
      <c r="A87" s="88">
        <f t="shared" si="5"/>
        <v>0</v>
      </c>
      <c r="B87" s="268">
        <f t="shared" si="6"/>
        <v>0</v>
      </c>
      <c r="C87" s="268">
        <f t="shared" si="13"/>
        <v>0</v>
      </c>
      <c r="D87" s="268">
        <f t="shared" si="13"/>
        <v>0</v>
      </c>
      <c r="E87" s="268">
        <f t="shared" si="13"/>
        <v>0</v>
      </c>
      <c r="F87" s="268">
        <f t="shared" si="13"/>
        <v>0</v>
      </c>
      <c r="G87" s="268">
        <f t="shared" si="13"/>
        <v>0</v>
      </c>
      <c r="H87" s="268">
        <f t="shared" si="13"/>
        <v>0</v>
      </c>
    </row>
    <row r="88" spans="1:12">
      <c r="A88" s="88">
        <f t="shared" si="5"/>
        <v>0</v>
      </c>
      <c r="B88" s="268">
        <f t="shared" si="6"/>
        <v>0</v>
      </c>
      <c r="C88" s="268">
        <f t="shared" si="13"/>
        <v>0</v>
      </c>
      <c r="D88" s="268">
        <f t="shared" si="13"/>
        <v>0</v>
      </c>
      <c r="E88" s="268">
        <f t="shared" si="13"/>
        <v>0</v>
      </c>
      <c r="F88" s="268">
        <f t="shared" si="13"/>
        <v>0</v>
      </c>
      <c r="G88" s="268">
        <f t="shared" si="13"/>
        <v>0</v>
      </c>
      <c r="H88" s="268">
        <f t="shared" si="13"/>
        <v>0</v>
      </c>
    </row>
    <row r="89" spans="1:12">
      <c r="A89" s="88">
        <f t="shared" si="5"/>
        <v>0</v>
      </c>
      <c r="B89" s="268">
        <f t="shared" si="6"/>
        <v>0</v>
      </c>
      <c r="C89" s="268">
        <f t="shared" si="13"/>
        <v>0</v>
      </c>
      <c r="D89" s="268">
        <f t="shared" si="13"/>
        <v>0</v>
      </c>
      <c r="E89" s="268">
        <f t="shared" si="13"/>
        <v>0</v>
      </c>
      <c r="F89" s="268">
        <f t="shared" si="13"/>
        <v>0</v>
      </c>
      <c r="G89" s="268">
        <f t="shared" si="13"/>
        <v>0</v>
      </c>
      <c r="H89" s="268">
        <f t="shared" si="13"/>
        <v>0</v>
      </c>
    </row>
    <row r="90" spans="1:12">
      <c r="A90" s="88"/>
      <c r="B90" s="268"/>
      <c r="C90" s="268"/>
      <c r="D90" s="268"/>
      <c r="E90" s="268"/>
      <c r="F90" s="268"/>
      <c r="G90" s="268"/>
      <c r="H90" s="268"/>
      <c r="J90" s="290"/>
      <c r="K90" s="290"/>
      <c r="L90" s="290"/>
    </row>
    <row r="91" spans="1:12">
      <c r="A91" s="88" t="str">
        <f t="shared" ref="A91:A109" si="14">A34</f>
        <v>Fruit  &amp; Vegetables Crop Production Details</v>
      </c>
      <c r="B91" s="268"/>
      <c r="C91" s="268"/>
      <c r="D91" s="268"/>
      <c r="E91" s="268"/>
      <c r="F91" s="268"/>
      <c r="G91" s="268"/>
      <c r="H91" s="268"/>
      <c r="J91" s="290"/>
      <c r="K91" s="290"/>
      <c r="L91" s="290"/>
    </row>
    <row r="92" spans="1:12">
      <c r="A92" s="88" t="str">
        <f t="shared" si="14"/>
        <v>Onion</v>
      </c>
      <c r="B92" s="268">
        <f t="shared" ref="B92:H101" si="15">B35</f>
        <v>0</v>
      </c>
      <c r="C92" s="268">
        <f t="shared" si="15"/>
        <v>0</v>
      </c>
      <c r="D92" s="268">
        <f t="shared" si="15"/>
        <v>0</v>
      </c>
      <c r="E92" s="268">
        <f t="shared" si="15"/>
        <v>0</v>
      </c>
      <c r="F92" s="268">
        <f t="shared" si="15"/>
        <v>0</v>
      </c>
      <c r="G92" s="268">
        <f t="shared" si="15"/>
        <v>0</v>
      </c>
      <c r="H92" s="268">
        <f t="shared" si="15"/>
        <v>0</v>
      </c>
      <c r="J92" s="290"/>
      <c r="K92" s="290"/>
      <c r="L92" s="290"/>
    </row>
    <row r="93" spans="1:12">
      <c r="A93" s="88" t="str">
        <f t="shared" si="14"/>
        <v>Tomato</v>
      </c>
      <c r="B93" s="268">
        <f t="shared" si="15"/>
        <v>0</v>
      </c>
      <c r="C93" s="268">
        <f t="shared" si="15"/>
        <v>0</v>
      </c>
      <c r="D93" s="268">
        <f t="shared" si="15"/>
        <v>0</v>
      </c>
      <c r="E93" s="268">
        <f t="shared" si="15"/>
        <v>0</v>
      </c>
      <c r="F93" s="268">
        <f t="shared" si="15"/>
        <v>0</v>
      </c>
      <c r="G93" s="268">
        <f t="shared" si="15"/>
        <v>0</v>
      </c>
      <c r="H93" s="268">
        <f t="shared" si="15"/>
        <v>0</v>
      </c>
      <c r="J93" s="290"/>
      <c r="K93" s="290"/>
      <c r="L93" s="290"/>
    </row>
    <row r="94" spans="1:12">
      <c r="A94" s="88" t="str">
        <f t="shared" si="14"/>
        <v>Okra</v>
      </c>
      <c r="B94" s="268">
        <f t="shared" si="15"/>
        <v>0</v>
      </c>
      <c r="C94" s="268">
        <f t="shared" si="15"/>
        <v>0</v>
      </c>
      <c r="D94" s="268">
        <f t="shared" si="15"/>
        <v>0</v>
      </c>
      <c r="E94" s="268">
        <f t="shared" si="15"/>
        <v>0</v>
      </c>
      <c r="F94" s="268">
        <f t="shared" si="15"/>
        <v>0</v>
      </c>
      <c r="G94" s="268">
        <f t="shared" si="15"/>
        <v>0</v>
      </c>
      <c r="H94" s="268">
        <f t="shared" si="15"/>
        <v>0</v>
      </c>
      <c r="J94" s="290"/>
      <c r="K94" s="290"/>
      <c r="L94" s="290"/>
    </row>
    <row r="95" spans="1:12">
      <c r="A95" s="88" t="str">
        <f t="shared" si="14"/>
        <v>Chilli</v>
      </c>
      <c r="B95" s="268">
        <f t="shared" si="15"/>
        <v>0</v>
      </c>
      <c r="C95" s="268">
        <f t="shared" si="15"/>
        <v>0</v>
      </c>
      <c r="D95" s="268">
        <f t="shared" si="15"/>
        <v>0</v>
      </c>
      <c r="E95" s="268">
        <f t="shared" si="15"/>
        <v>0</v>
      </c>
      <c r="F95" s="268">
        <f t="shared" si="15"/>
        <v>0</v>
      </c>
      <c r="G95" s="268">
        <f t="shared" si="15"/>
        <v>0</v>
      </c>
      <c r="H95" s="268">
        <f t="shared" si="15"/>
        <v>0</v>
      </c>
      <c r="J95" s="290"/>
      <c r="K95" s="290"/>
      <c r="L95" s="290"/>
    </row>
    <row r="96" spans="1:12">
      <c r="A96" s="88" t="str">
        <f t="shared" si="14"/>
        <v>Potato</v>
      </c>
      <c r="B96" s="268">
        <f t="shared" si="15"/>
        <v>0</v>
      </c>
      <c r="C96" s="268">
        <f t="shared" si="15"/>
        <v>0</v>
      </c>
      <c r="D96" s="268">
        <f t="shared" si="15"/>
        <v>0</v>
      </c>
      <c r="E96" s="268">
        <f t="shared" si="15"/>
        <v>0</v>
      </c>
      <c r="F96" s="268">
        <f t="shared" si="15"/>
        <v>0</v>
      </c>
      <c r="G96" s="268">
        <f t="shared" si="15"/>
        <v>0</v>
      </c>
      <c r="H96" s="268">
        <f t="shared" si="15"/>
        <v>0</v>
      </c>
      <c r="J96" s="290"/>
      <c r="K96" s="290"/>
      <c r="L96" s="290"/>
    </row>
    <row r="97" spans="1:12">
      <c r="A97" s="88">
        <f t="shared" si="14"/>
        <v>0</v>
      </c>
      <c r="B97" s="268">
        <f t="shared" si="15"/>
        <v>0</v>
      </c>
      <c r="C97" s="268">
        <f t="shared" si="15"/>
        <v>0</v>
      </c>
      <c r="D97" s="268">
        <f t="shared" si="15"/>
        <v>0</v>
      </c>
      <c r="E97" s="268">
        <f t="shared" si="15"/>
        <v>0</v>
      </c>
      <c r="F97" s="268">
        <f t="shared" si="15"/>
        <v>0</v>
      </c>
      <c r="G97" s="268">
        <f t="shared" si="15"/>
        <v>0</v>
      </c>
      <c r="H97" s="268">
        <f t="shared" si="15"/>
        <v>0</v>
      </c>
      <c r="J97" s="290"/>
      <c r="K97" s="290"/>
      <c r="L97" s="290"/>
    </row>
    <row r="98" spans="1:12">
      <c r="A98" s="88">
        <f t="shared" si="14"/>
        <v>0</v>
      </c>
      <c r="B98" s="268">
        <f t="shared" si="15"/>
        <v>0</v>
      </c>
      <c r="C98" s="268">
        <f t="shared" si="15"/>
        <v>0</v>
      </c>
      <c r="D98" s="268">
        <f t="shared" si="15"/>
        <v>0</v>
      </c>
      <c r="E98" s="268">
        <f t="shared" si="15"/>
        <v>0</v>
      </c>
      <c r="F98" s="268">
        <f t="shared" si="15"/>
        <v>0</v>
      </c>
      <c r="G98" s="268">
        <f t="shared" si="15"/>
        <v>0</v>
      </c>
      <c r="H98" s="268">
        <f t="shared" si="15"/>
        <v>0</v>
      </c>
      <c r="J98" s="290"/>
      <c r="K98" s="290"/>
      <c r="L98" s="290"/>
    </row>
    <row r="99" spans="1:12">
      <c r="A99" s="88">
        <f t="shared" si="14"/>
        <v>0</v>
      </c>
      <c r="B99" s="268">
        <f t="shared" si="15"/>
        <v>0</v>
      </c>
      <c r="C99" s="268">
        <f t="shared" si="15"/>
        <v>0</v>
      </c>
      <c r="D99" s="268">
        <f t="shared" si="15"/>
        <v>0</v>
      </c>
      <c r="E99" s="268">
        <f t="shared" si="15"/>
        <v>0</v>
      </c>
      <c r="F99" s="268">
        <f t="shared" si="15"/>
        <v>0</v>
      </c>
      <c r="G99" s="268">
        <f t="shared" si="15"/>
        <v>0</v>
      </c>
      <c r="H99" s="268">
        <f t="shared" si="15"/>
        <v>0</v>
      </c>
      <c r="J99" s="290"/>
      <c r="K99" s="290"/>
      <c r="L99" s="290"/>
    </row>
    <row r="100" spans="1:12">
      <c r="A100" s="88">
        <f t="shared" si="14"/>
        <v>0</v>
      </c>
      <c r="B100" s="268">
        <f t="shared" si="15"/>
        <v>0</v>
      </c>
      <c r="C100" s="268">
        <f t="shared" si="15"/>
        <v>0</v>
      </c>
      <c r="D100" s="268">
        <f t="shared" si="15"/>
        <v>0</v>
      </c>
      <c r="E100" s="268">
        <f t="shared" si="15"/>
        <v>0</v>
      </c>
      <c r="F100" s="268">
        <f t="shared" si="15"/>
        <v>0</v>
      </c>
      <c r="G100" s="268">
        <f t="shared" si="15"/>
        <v>0</v>
      </c>
      <c r="H100" s="268">
        <f t="shared" si="15"/>
        <v>0</v>
      </c>
      <c r="J100" s="290"/>
      <c r="K100" s="290"/>
      <c r="L100" s="290"/>
    </row>
    <row r="101" spans="1:12">
      <c r="A101" s="88" t="str">
        <f t="shared" si="14"/>
        <v>Onion</v>
      </c>
      <c r="B101" s="268">
        <f t="shared" si="15"/>
        <v>0</v>
      </c>
      <c r="C101" s="268">
        <f t="shared" si="15"/>
        <v>0</v>
      </c>
      <c r="D101" s="268">
        <f t="shared" si="15"/>
        <v>0</v>
      </c>
      <c r="E101" s="268">
        <f t="shared" si="15"/>
        <v>0</v>
      </c>
      <c r="F101" s="268">
        <f t="shared" si="15"/>
        <v>0</v>
      </c>
      <c r="G101" s="268">
        <f t="shared" si="15"/>
        <v>0</v>
      </c>
      <c r="H101" s="268">
        <f t="shared" si="15"/>
        <v>0</v>
      </c>
      <c r="J101" s="290"/>
      <c r="K101" s="290"/>
      <c r="L101" s="290"/>
    </row>
    <row r="102" spans="1:12">
      <c r="A102" s="88" t="str">
        <f t="shared" si="14"/>
        <v>Tomato</v>
      </c>
      <c r="B102" s="268">
        <f t="shared" ref="B102:H109" si="16">B45</f>
        <v>0</v>
      </c>
      <c r="C102" s="268">
        <f t="shared" si="16"/>
        <v>0</v>
      </c>
      <c r="D102" s="268">
        <f t="shared" si="16"/>
        <v>0</v>
      </c>
      <c r="E102" s="268">
        <f t="shared" si="16"/>
        <v>0</v>
      </c>
      <c r="F102" s="268">
        <f t="shared" si="16"/>
        <v>0</v>
      </c>
      <c r="G102" s="268">
        <f t="shared" si="16"/>
        <v>0</v>
      </c>
      <c r="H102" s="268">
        <f t="shared" si="16"/>
        <v>0</v>
      </c>
      <c r="J102" s="290"/>
      <c r="K102" s="290"/>
      <c r="L102" s="290"/>
    </row>
    <row r="103" spans="1:12">
      <c r="A103" s="88" t="str">
        <f t="shared" si="14"/>
        <v>Okra</v>
      </c>
      <c r="B103" s="268">
        <f t="shared" si="16"/>
        <v>0</v>
      </c>
      <c r="C103" s="268">
        <f t="shared" si="16"/>
        <v>0</v>
      </c>
      <c r="D103" s="268">
        <f t="shared" si="16"/>
        <v>0</v>
      </c>
      <c r="E103" s="268">
        <f t="shared" si="16"/>
        <v>0</v>
      </c>
      <c r="F103" s="268">
        <f t="shared" si="16"/>
        <v>0</v>
      </c>
      <c r="G103" s="268">
        <f t="shared" si="16"/>
        <v>0</v>
      </c>
      <c r="H103" s="268">
        <f t="shared" si="16"/>
        <v>0</v>
      </c>
      <c r="J103" s="290"/>
      <c r="K103" s="290"/>
      <c r="L103" s="290"/>
    </row>
    <row r="104" spans="1:12">
      <c r="A104" s="88" t="str">
        <f t="shared" si="14"/>
        <v>Chilli</v>
      </c>
      <c r="B104" s="268">
        <f t="shared" si="16"/>
        <v>0</v>
      </c>
      <c r="C104" s="268">
        <f t="shared" si="16"/>
        <v>0</v>
      </c>
      <c r="D104" s="268">
        <f t="shared" si="16"/>
        <v>0</v>
      </c>
      <c r="E104" s="268">
        <f t="shared" si="16"/>
        <v>0</v>
      </c>
      <c r="F104" s="268">
        <f t="shared" si="16"/>
        <v>0</v>
      </c>
      <c r="G104" s="268">
        <f t="shared" si="16"/>
        <v>0</v>
      </c>
      <c r="H104" s="268">
        <f t="shared" si="16"/>
        <v>0</v>
      </c>
      <c r="J104" s="290"/>
      <c r="K104" s="290"/>
      <c r="L104" s="290"/>
    </row>
    <row r="105" spans="1:12">
      <c r="A105" s="88" t="str">
        <f t="shared" si="14"/>
        <v>Brinjal</v>
      </c>
      <c r="B105" s="268">
        <f t="shared" si="16"/>
        <v>0</v>
      </c>
      <c r="C105" s="268">
        <f t="shared" si="16"/>
        <v>0</v>
      </c>
      <c r="D105" s="268">
        <f t="shared" si="16"/>
        <v>0</v>
      </c>
      <c r="E105" s="268">
        <f t="shared" si="16"/>
        <v>0</v>
      </c>
      <c r="F105" s="268">
        <f t="shared" si="16"/>
        <v>0</v>
      </c>
      <c r="G105" s="268">
        <f t="shared" si="16"/>
        <v>0</v>
      </c>
      <c r="H105" s="268">
        <f t="shared" si="16"/>
        <v>0</v>
      </c>
      <c r="J105" s="290"/>
      <c r="K105" s="290"/>
      <c r="L105" s="290"/>
    </row>
    <row r="106" spans="1:12">
      <c r="A106" s="88">
        <f t="shared" si="14"/>
        <v>0</v>
      </c>
      <c r="B106" s="268">
        <f t="shared" si="16"/>
        <v>0</v>
      </c>
      <c r="C106" s="268">
        <f t="shared" si="16"/>
        <v>0</v>
      </c>
      <c r="D106" s="268">
        <f t="shared" si="16"/>
        <v>0</v>
      </c>
      <c r="E106" s="268">
        <f t="shared" si="16"/>
        <v>0</v>
      </c>
      <c r="F106" s="268">
        <f t="shared" si="16"/>
        <v>0</v>
      </c>
      <c r="G106" s="268">
        <f t="shared" si="16"/>
        <v>0</v>
      </c>
      <c r="H106" s="268">
        <f t="shared" si="16"/>
        <v>0</v>
      </c>
      <c r="J106" s="290"/>
      <c r="K106" s="290"/>
      <c r="L106" s="290"/>
    </row>
    <row r="107" spans="1:12">
      <c r="A107" s="88">
        <f t="shared" si="14"/>
        <v>0</v>
      </c>
      <c r="B107" s="268">
        <f t="shared" si="16"/>
        <v>0</v>
      </c>
      <c r="C107" s="268">
        <f t="shared" si="16"/>
        <v>0</v>
      </c>
      <c r="D107" s="268">
        <f t="shared" si="16"/>
        <v>0</v>
      </c>
      <c r="E107" s="268">
        <f t="shared" si="16"/>
        <v>0</v>
      </c>
      <c r="F107" s="268">
        <f t="shared" si="16"/>
        <v>0</v>
      </c>
      <c r="G107" s="268">
        <f t="shared" si="16"/>
        <v>0</v>
      </c>
      <c r="H107" s="268">
        <f t="shared" si="16"/>
        <v>0</v>
      </c>
      <c r="J107" s="290"/>
      <c r="K107" s="290"/>
      <c r="L107" s="290"/>
    </row>
    <row r="108" spans="1:12">
      <c r="A108" s="88">
        <f t="shared" si="14"/>
        <v>0</v>
      </c>
      <c r="B108" s="268">
        <f t="shared" si="16"/>
        <v>0</v>
      </c>
      <c r="C108" s="268">
        <f t="shared" si="16"/>
        <v>0</v>
      </c>
      <c r="D108" s="268">
        <f t="shared" si="16"/>
        <v>0</v>
      </c>
      <c r="E108" s="268">
        <f t="shared" si="16"/>
        <v>0</v>
      </c>
      <c r="F108" s="268">
        <f t="shared" si="16"/>
        <v>0</v>
      </c>
      <c r="G108" s="268">
        <f t="shared" si="16"/>
        <v>0</v>
      </c>
      <c r="H108" s="268">
        <f t="shared" si="16"/>
        <v>0</v>
      </c>
      <c r="J108" s="290"/>
      <c r="K108" s="290"/>
      <c r="L108" s="290"/>
    </row>
    <row r="109" spans="1:12">
      <c r="A109" s="88">
        <f t="shared" si="14"/>
        <v>0</v>
      </c>
      <c r="B109" s="268">
        <f t="shared" si="16"/>
        <v>0</v>
      </c>
      <c r="C109" s="268">
        <f t="shared" si="16"/>
        <v>0</v>
      </c>
      <c r="D109" s="268">
        <f t="shared" si="16"/>
        <v>0</v>
      </c>
      <c r="E109" s="268">
        <f t="shared" si="16"/>
        <v>0</v>
      </c>
      <c r="F109" s="268">
        <f t="shared" si="16"/>
        <v>0</v>
      </c>
      <c r="G109" s="268">
        <f t="shared" si="16"/>
        <v>0</v>
      </c>
      <c r="H109" s="268">
        <f t="shared" si="16"/>
        <v>0</v>
      </c>
      <c r="J109" s="290"/>
      <c r="K109" s="290"/>
      <c r="L109" s="290"/>
    </row>
    <row r="110" spans="1:12">
      <c r="A110" s="88">
        <f t="shared" ref="A110:A116" si="17">A53</f>
        <v>0</v>
      </c>
      <c r="B110" s="268"/>
      <c r="C110" s="268"/>
      <c r="D110" s="268"/>
      <c r="E110" s="268"/>
      <c r="F110" s="268"/>
      <c r="G110" s="268"/>
      <c r="H110" s="268"/>
      <c r="J110" s="290"/>
      <c r="K110" s="290"/>
      <c r="L110" s="290"/>
    </row>
    <row r="111" spans="1:12">
      <c r="A111" s="88">
        <f t="shared" si="17"/>
        <v>0</v>
      </c>
      <c r="B111" s="268"/>
      <c r="C111" s="268"/>
      <c r="D111" s="268"/>
      <c r="E111" s="268"/>
      <c r="F111" s="268"/>
      <c r="G111" s="268"/>
      <c r="H111" s="268"/>
      <c r="J111" s="290"/>
      <c r="K111" s="290"/>
      <c r="L111" s="290"/>
    </row>
    <row r="112" spans="1:12">
      <c r="A112" s="88">
        <f t="shared" si="17"/>
        <v>0</v>
      </c>
      <c r="B112" s="268"/>
      <c r="C112" s="268"/>
      <c r="D112" s="268"/>
      <c r="E112" s="268"/>
      <c r="F112" s="268"/>
      <c r="G112" s="268"/>
      <c r="H112" s="268"/>
      <c r="J112" s="290"/>
      <c r="K112" s="290"/>
      <c r="L112" s="290"/>
    </row>
    <row r="113" spans="1:12">
      <c r="A113" s="88" t="str">
        <f t="shared" si="17"/>
        <v>Pomegranate</v>
      </c>
      <c r="B113" s="268">
        <f t="shared" ref="B113:H116" si="18">B56</f>
        <v>0</v>
      </c>
      <c r="C113" s="268">
        <f t="shared" si="18"/>
        <v>0</v>
      </c>
      <c r="D113" s="268">
        <f t="shared" si="18"/>
        <v>0</v>
      </c>
      <c r="E113" s="268">
        <f t="shared" si="18"/>
        <v>0</v>
      </c>
      <c r="F113" s="268">
        <f t="shared" si="18"/>
        <v>0</v>
      </c>
      <c r="G113" s="268">
        <f t="shared" si="18"/>
        <v>0</v>
      </c>
      <c r="H113" s="268">
        <f t="shared" si="18"/>
        <v>0</v>
      </c>
      <c r="J113" s="290"/>
      <c r="K113" s="290"/>
      <c r="L113" s="290"/>
    </row>
    <row r="114" spans="1:12">
      <c r="A114" s="88" t="str">
        <f t="shared" si="17"/>
        <v>Custard Apple</v>
      </c>
      <c r="B114" s="268">
        <f t="shared" si="18"/>
        <v>0</v>
      </c>
      <c r="C114" s="268">
        <f t="shared" si="18"/>
        <v>0</v>
      </c>
      <c r="D114" s="268">
        <f t="shared" si="18"/>
        <v>0</v>
      </c>
      <c r="E114" s="268">
        <f t="shared" si="18"/>
        <v>0</v>
      </c>
      <c r="F114" s="268">
        <f t="shared" si="18"/>
        <v>0</v>
      </c>
      <c r="G114" s="268">
        <f t="shared" si="18"/>
        <v>0</v>
      </c>
      <c r="H114" s="268">
        <f t="shared" si="18"/>
        <v>0</v>
      </c>
      <c r="J114" s="290"/>
      <c r="K114" s="290"/>
      <c r="L114" s="290"/>
    </row>
    <row r="115" spans="1:12">
      <c r="A115" s="88" t="str">
        <f t="shared" si="17"/>
        <v>Guava</v>
      </c>
      <c r="B115" s="268">
        <f t="shared" si="18"/>
        <v>0</v>
      </c>
      <c r="C115" s="268">
        <f t="shared" si="18"/>
        <v>0</v>
      </c>
      <c r="D115" s="268">
        <f t="shared" si="18"/>
        <v>0</v>
      </c>
      <c r="E115" s="268">
        <f t="shared" si="18"/>
        <v>0</v>
      </c>
      <c r="F115" s="268">
        <f t="shared" si="18"/>
        <v>0</v>
      </c>
      <c r="G115" s="268">
        <f t="shared" si="18"/>
        <v>0</v>
      </c>
      <c r="H115" s="268">
        <f t="shared" si="18"/>
        <v>0</v>
      </c>
      <c r="J115" s="290"/>
      <c r="K115" s="290"/>
      <c r="L115" s="290"/>
    </row>
    <row r="116" spans="1:12">
      <c r="A116" s="88" t="str">
        <f t="shared" si="17"/>
        <v>Citrus</v>
      </c>
      <c r="B116" s="268">
        <f t="shared" si="18"/>
        <v>0</v>
      </c>
      <c r="C116" s="268">
        <f t="shared" si="18"/>
        <v>0</v>
      </c>
      <c r="D116" s="268">
        <f t="shared" si="18"/>
        <v>0</v>
      </c>
      <c r="E116" s="268">
        <f t="shared" si="18"/>
        <v>0</v>
      </c>
      <c r="F116" s="268">
        <f t="shared" si="18"/>
        <v>0</v>
      </c>
      <c r="G116" s="268">
        <f t="shared" si="18"/>
        <v>0</v>
      </c>
      <c r="H116" s="268">
        <f t="shared" si="18"/>
        <v>0</v>
      </c>
      <c r="J116" s="290"/>
      <c r="K116" s="290"/>
      <c r="L116" s="290"/>
    </row>
    <row r="117" spans="1:12">
      <c r="A117" s="88"/>
      <c r="B117" s="268"/>
      <c r="C117" s="268"/>
      <c r="D117" s="268"/>
      <c r="E117" s="268"/>
      <c r="F117" s="268"/>
      <c r="G117" s="268"/>
      <c r="H117" s="268"/>
      <c r="J117" s="290"/>
      <c r="K117" s="290"/>
      <c r="L117" s="290"/>
    </row>
    <row r="118" spans="1:12">
      <c r="A118" s="88"/>
      <c r="B118" s="268"/>
      <c r="C118" s="268"/>
      <c r="D118" s="268"/>
      <c r="E118" s="268"/>
      <c r="F118" s="268"/>
      <c r="G118" s="268"/>
      <c r="H118" s="268"/>
      <c r="J118" s="290"/>
      <c r="K118" s="290"/>
      <c r="L118" s="290"/>
    </row>
    <row r="119" spans="1:12">
      <c r="A119" s="94" t="s">
        <v>140</v>
      </c>
      <c r="B119" s="88"/>
      <c r="C119" s="88"/>
      <c r="D119" s="88"/>
      <c r="E119" s="88"/>
      <c r="F119" s="88"/>
      <c r="G119" s="88"/>
      <c r="H119" s="88"/>
    </row>
    <row r="120" spans="1:12">
      <c r="A120" s="92" t="str">
        <f t="shared" ref="A120:A141" si="19">A68</f>
        <v>Soybean</v>
      </c>
      <c r="B120" s="269">
        <f t="shared" ref="B120:H129" si="20">B68-(B68*$G$6)</f>
        <v>0</v>
      </c>
      <c r="C120" s="269">
        <f t="shared" si="20"/>
        <v>0</v>
      </c>
      <c r="D120" s="269">
        <f t="shared" si="20"/>
        <v>0</v>
      </c>
      <c r="E120" s="269">
        <f t="shared" si="20"/>
        <v>0</v>
      </c>
      <c r="F120" s="269">
        <f t="shared" si="20"/>
        <v>0</v>
      </c>
      <c r="G120" s="269">
        <f t="shared" si="20"/>
        <v>0</v>
      </c>
      <c r="H120" s="269">
        <f t="shared" si="20"/>
        <v>0</v>
      </c>
    </row>
    <row r="121" spans="1:12">
      <c r="A121" s="92" t="str">
        <f t="shared" si="19"/>
        <v>Red Gram/Tur</v>
      </c>
      <c r="B121" s="269">
        <f t="shared" si="20"/>
        <v>0</v>
      </c>
      <c r="C121" s="269">
        <f t="shared" si="20"/>
        <v>0</v>
      </c>
      <c r="D121" s="269">
        <f t="shared" si="20"/>
        <v>0</v>
      </c>
      <c r="E121" s="269">
        <f t="shared" si="20"/>
        <v>0</v>
      </c>
      <c r="F121" s="269">
        <f t="shared" si="20"/>
        <v>0</v>
      </c>
      <c r="G121" s="269">
        <f t="shared" si="20"/>
        <v>0</v>
      </c>
      <c r="H121" s="269">
        <f t="shared" si="20"/>
        <v>0</v>
      </c>
    </row>
    <row r="122" spans="1:12">
      <c r="A122" s="92" t="str">
        <f t="shared" si="19"/>
        <v>Paddy/Rice</v>
      </c>
      <c r="B122" s="269">
        <f t="shared" si="20"/>
        <v>0</v>
      </c>
      <c r="C122" s="269">
        <f t="shared" si="20"/>
        <v>0</v>
      </c>
      <c r="D122" s="269">
        <f t="shared" si="20"/>
        <v>0</v>
      </c>
      <c r="E122" s="269">
        <f t="shared" si="20"/>
        <v>0</v>
      </c>
      <c r="F122" s="269">
        <f t="shared" si="20"/>
        <v>0</v>
      </c>
      <c r="G122" s="269">
        <f t="shared" si="20"/>
        <v>0</v>
      </c>
      <c r="H122" s="269">
        <f t="shared" si="20"/>
        <v>0</v>
      </c>
    </row>
    <row r="123" spans="1:12">
      <c r="A123" s="92" t="str">
        <f t="shared" si="19"/>
        <v>Green Gram/ Moong</v>
      </c>
      <c r="B123" s="269">
        <f t="shared" si="20"/>
        <v>0</v>
      </c>
      <c r="C123" s="269">
        <f t="shared" si="20"/>
        <v>0</v>
      </c>
      <c r="D123" s="269">
        <f t="shared" si="20"/>
        <v>0</v>
      </c>
      <c r="E123" s="269">
        <f t="shared" si="20"/>
        <v>0</v>
      </c>
      <c r="F123" s="269">
        <f t="shared" si="20"/>
        <v>0</v>
      </c>
      <c r="G123" s="269">
        <f t="shared" si="20"/>
        <v>0</v>
      </c>
      <c r="H123" s="269">
        <f t="shared" si="20"/>
        <v>0</v>
      </c>
    </row>
    <row r="124" spans="1:12">
      <c r="A124" s="92" t="str">
        <f t="shared" si="19"/>
        <v>Maize</v>
      </c>
      <c r="B124" s="269">
        <f t="shared" si="20"/>
        <v>0</v>
      </c>
      <c r="C124" s="269">
        <f t="shared" si="20"/>
        <v>0</v>
      </c>
      <c r="D124" s="269">
        <f t="shared" si="20"/>
        <v>0</v>
      </c>
      <c r="E124" s="269">
        <f t="shared" si="20"/>
        <v>0</v>
      </c>
      <c r="F124" s="269">
        <f t="shared" si="20"/>
        <v>0</v>
      </c>
      <c r="G124" s="269">
        <f t="shared" si="20"/>
        <v>0</v>
      </c>
      <c r="H124" s="269">
        <f t="shared" si="20"/>
        <v>0</v>
      </c>
    </row>
    <row r="125" spans="1:12">
      <c r="A125" s="92" t="str">
        <f t="shared" si="19"/>
        <v>Black Gram/Udid</v>
      </c>
      <c r="B125" s="269">
        <f t="shared" si="20"/>
        <v>0</v>
      </c>
      <c r="C125" s="269">
        <f t="shared" si="20"/>
        <v>0</v>
      </c>
      <c r="D125" s="269">
        <f t="shared" si="20"/>
        <v>0</v>
      </c>
      <c r="E125" s="269">
        <f t="shared" si="20"/>
        <v>0</v>
      </c>
      <c r="F125" s="269">
        <f t="shared" si="20"/>
        <v>0</v>
      </c>
      <c r="G125" s="269">
        <f t="shared" si="20"/>
        <v>0</v>
      </c>
      <c r="H125" s="269">
        <f t="shared" si="20"/>
        <v>0</v>
      </c>
    </row>
    <row r="126" spans="1:12">
      <c r="A126" s="92" t="str">
        <f t="shared" si="19"/>
        <v>Bajra</v>
      </c>
      <c r="B126" s="269">
        <f t="shared" si="20"/>
        <v>0</v>
      </c>
      <c r="C126" s="269">
        <f t="shared" si="20"/>
        <v>0</v>
      </c>
      <c r="D126" s="269">
        <f t="shared" si="20"/>
        <v>0</v>
      </c>
      <c r="E126" s="269">
        <f t="shared" si="20"/>
        <v>0</v>
      </c>
      <c r="F126" s="269">
        <f t="shared" si="20"/>
        <v>0</v>
      </c>
      <c r="G126" s="269">
        <f t="shared" si="20"/>
        <v>0</v>
      </c>
      <c r="H126" s="269">
        <f t="shared" si="20"/>
        <v>0</v>
      </c>
    </row>
    <row r="127" spans="1:12">
      <c r="A127" s="92" t="str">
        <f t="shared" si="19"/>
        <v>Bengal Gram/Channa</v>
      </c>
      <c r="B127" s="269">
        <f t="shared" si="20"/>
        <v>0</v>
      </c>
      <c r="C127" s="269">
        <f t="shared" si="20"/>
        <v>0</v>
      </c>
      <c r="D127" s="269">
        <f t="shared" si="20"/>
        <v>0</v>
      </c>
      <c r="E127" s="269">
        <f t="shared" si="20"/>
        <v>0</v>
      </c>
      <c r="F127" s="269">
        <f t="shared" si="20"/>
        <v>0</v>
      </c>
      <c r="G127" s="269">
        <f t="shared" si="20"/>
        <v>0</v>
      </c>
      <c r="H127" s="269">
        <f t="shared" si="20"/>
        <v>0</v>
      </c>
    </row>
    <row r="128" spans="1:12">
      <c r="A128" s="92" t="str">
        <f t="shared" si="19"/>
        <v>Sunflower</v>
      </c>
      <c r="B128" s="269">
        <f t="shared" si="20"/>
        <v>0</v>
      </c>
      <c r="C128" s="269">
        <f t="shared" si="20"/>
        <v>0</v>
      </c>
      <c r="D128" s="269">
        <f t="shared" si="20"/>
        <v>0</v>
      </c>
      <c r="E128" s="269">
        <f t="shared" si="20"/>
        <v>0</v>
      </c>
      <c r="F128" s="269">
        <f t="shared" si="20"/>
        <v>0</v>
      </c>
      <c r="G128" s="269">
        <f t="shared" si="20"/>
        <v>0</v>
      </c>
      <c r="H128" s="269">
        <f t="shared" si="20"/>
        <v>0</v>
      </c>
    </row>
    <row r="129" spans="1:8">
      <c r="A129" s="92" t="str">
        <f t="shared" si="19"/>
        <v>Wheat</v>
      </c>
      <c r="B129" s="269">
        <f t="shared" si="20"/>
        <v>0</v>
      </c>
      <c r="C129" s="269">
        <f t="shared" si="20"/>
        <v>0</v>
      </c>
      <c r="D129" s="269">
        <f t="shared" si="20"/>
        <v>0</v>
      </c>
      <c r="E129" s="269">
        <f t="shared" si="20"/>
        <v>0</v>
      </c>
      <c r="F129" s="269">
        <f t="shared" si="20"/>
        <v>0</v>
      </c>
      <c r="G129" s="269">
        <f t="shared" si="20"/>
        <v>0</v>
      </c>
      <c r="H129" s="269">
        <f t="shared" si="20"/>
        <v>0</v>
      </c>
    </row>
    <row r="130" spans="1:8">
      <c r="A130" s="92" t="str">
        <f t="shared" si="19"/>
        <v>Bengal Gram/Channa</v>
      </c>
      <c r="B130" s="269">
        <f t="shared" ref="B130:H139" si="21">B78-(B78*$G$6)</f>
        <v>0</v>
      </c>
      <c r="C130" s="269">
        <f t="shared" si="21"/>
        <v>0</v>
      </c>
      <c r="D130" s="269">
        <f t="shared" si="21"/>
        <v>0</v>
      </c>
      <c r="E130" s="269">
        <f t="shared" si="21"/>
        <v>0</v>
      </c>
      <c r="F130" s="269">
        <f t="shared" si="21"/>
        <v>0</v>
      </c>
      <c r="G130" s="269">
        <f t="shared" si="21"/>
        <v>0</v>
      </c>
      <c r="H130" s="269">
        <f t="shared" si="21"/>
        <v>0</v>
      </c>
    </row>
    <row r="131" spans="1:8">
      <c r="A131" s="92" t="str">
        <f t="shared" si="19"/>
        <v>Jawar</v>
      </c>
      <c r="B131" s="269">
        <f t="shared" si="21"/>
        <v>0</v>
      </c>
      <c r="C131" s="269">
        <f t="shared" si="21"/>
        <v>0</v>
      </c>
      <c r="D131" s="269">
        <f t="shared" si="21"/>
        <v>0</v>
      </c>
      <c r="E131" s="269">
        <f t="shared" si="21"/>
        <v>0</v>
      </c>
      <c r="F131" s="269">
        <f t="shared" si="21"/>
        <v>0</v>
      </c>
      <c r="G131" s="269">
        <f t="shared" si="21"/>
        <v>0</v>
      </c>
      <c r="H131" s="269">
        <f t="shared" si="21"/>
        <v>0</v>
      </c>
    </row>
    <row r="132" spans="1:8">
      <c r="A132" s="92" t="str">
        <f t="shared" si="19"/>
        <v>Maize</v>
      </c>
      <c r="B132" s="269">
        <f t="shared" si="21"/>
        <v>0</v>
      </c>
      <c r="C132" s="269">
        <f t="shared" si="21"/>
        <v>0</v>
      </c>
      <c r="D132" s="269">
        <f t="shared" si="21"/>
        <v>0</v>
      </c>
      <c r="E132" s="269">
        <f t="shared" si="21"/>
        <v>0</v>
      </c>
      <c r="F132" s="269">
        <f t="shared" si="21"/>
        <v>0</v>
      </c>
      <c r="G132" s="269">
        <f t="shared" si="21"/>
        <v>0</v>
      </c>
      <c r="H132" s="269">
        <f t="shared" si="21"/>
        <v>0</v>
      </c>
    </row>
    <row r="133" spans="1:8">
      <c r="A133" s="92" t="str">
        <f t="shared" si="19"/>
        <v>Safflower</v>
      </c>
      <c r="B133" s="269">
        <f t="shared" si="21"/>
        <v>0</v>
      </c>
      <c r="C133" s="269">
        <f t="shared" si="21"/>
        <v>0</v>
      </c>
      <c r="D133" s="269">
        <f t="shared" si="21"/>
        <v>0</v>
      </c>
      <c r="E133" s="269">
        <f t="shared" si="21"/>
        <v>0</v>
      </c>
      <c r="F133" s="269">
        <f t="shared" si="21"/>
        <v>0</v>
      </c>
      <c r="G133" s="269">
        <f t="shared" si="21"/>
        <v>0</v>
      </c>
      <c r="H133" s="269">
        <f t="shared" si="21"/>
        <v>0</v>
      </c>
    </row>
    <row r="134" spans="1:8">
      <c r="A134" s="92">
        <f t="shared" si="19"/>
        <v>0</v>
      </c>
      <c r="B134" s="269">
        <f t="shared" si="21"/>
        <v>0</v>
      </c>
      <c r="C134" s="269">
        <f t="shared" si="21"/>
        <v>0</v>
      </c>
      <c r="D134" s="269">
        <f t="shared" si="21"/>
        <v>0</v>
      </c>
      <c r="E134" s="269">
        <f t="shared" si="21"/>
        <v>0</v>
      </c>
      <c r="F134" s="269">
        <f t="shared" si="21"/>
        <v>0</v>
      </c>
      <c r="G134" s="269">
        <f t="shared" si="21"/>
        <v>0</v>
      </c>
      <c r="H134" s="269">
        <f t="shared" si="21"/>
        <v>0</v>
      </c>
    </row>
    <row r="135" spans="1:8">
      <c r="A135" s="92">
        <f t="shared" si="19"/>
        <v>0</v>
      </c>
      <c r="B135" s="269">
        <f t="shared" si="21"/>
        <v>0</v>
      </c>
      <c r="C135" s="269">
        <f t="shared" si="21"/>
        <v>0</v>
      </c>
      <c r="D135" s="269">
        <f t="shared" si="21"/>
        <v>0</v>
      </c>
      <c r="E135" s="269">
        <f t="shared" si="21"/>
        <v>0</v>
      </c>
      <c r="F135" s="269">
        <f t="shared" si="21"/>
        <v>0</v>
      </c>
      <c r="G135" s="269">
        <f t="shared" si="21"/>
        <v>0</v>
      </c>
      <c r="H135" s="269">
        <f t="shared" si="21"/>
        <v>0</v>
      </c>
    </row>
    <row r="136" spans="1:8">
      <c r="A136" s="92">
        <f t="shared" si="19"/>
        <v>0</v>
      </c>
      <c r="B136" s="269">
        <f t="shared" si="21"/>
        <v>0</v>
      </c>
      <c r="C136" s="269">
        <f t="shared" si="21"/>
        <v>0</v>
      </c>
      <c r="D136" s="269">
        <f t="shared" si="21"/>
        <v>0</v>
      </c>
      <c r="E136" s="269">
        <f t="shared" si="21"/>
        <v>0</v>
      </c>
      <c r="F136" s="269">
        <f t="shared" si="21"/>
        <v>0</v>
      </c>
      <c r="G136" s="269">
        <f t="shared" si="21"/>
        <v>0</v>
      </c>
      <c r="H136" s="269">
        <f t="shared" si="21"/>
        <v>0</v>
      </c>
    </row>
    <row r="137" spans="1:8">
      <c r="A137" s="92" t="str">
        <f t="shared" si="19"/>
        <v>Groundnut</v>
      </c>
      <c r="B137" s="269">
        <f t="shared" si="21"/>
        <v>0</v>
      </c>
      <c r="C137" s="269">
        <f t="shared" si="21"/>
        <v>0</v>
      </c>
      <c r="D137" s="269">
        <f t="shared" si="21"/>
        <v>0</v>
      </c>
      <c r="E137" s="269">
        <f t="shared" si="21"/>
        <v>0</v>
      </c>
      <c r="F137" s="269">
        <f t="shared" si="21"/>
        <v>0</v>
      </c>
      <c r="G137" s="269">
        <f t="shared" si="21"/>
        <v>0</v>
      </c>
      <c r="H137" s="269">
        <f t="shared" si="21"/>
        <v>0</v>
      </c>
    </row>
    <row r="138" spans="1:8">
      <c r="A138" s="92" t="str">
        <f t="shared" si="19"/>
        <v>Bengal Gram/Channa</v>
      </c>
      <c r="B138" s="269">
        <f t="shared" si="21"/>
        <v>0</v>
      </c>
      <c r="C138" s="269">
        <f t="shared" si="21"/>
        <v>0</v>
      </c>
      <c r="D138" s="269">
        <f t="shared" si="21"/>
        <v>0</v>
      </c>
      <c r="E138" s="269">
        <f t="shared" si="21"/>
        <v>0</v>
      </c>
      <c r="F138" s="269">
        <f t="shared" si="21"/>
        <v>0</v>
      </c>
      <c r="G138" s="269">
        <f t="shared" si="21"/>
        <v>0</v>
      </c>
      <c r="H138" s="269">
        <f t="shared" si="21"/>
        <v>0</v>
      </c>
    </row>
    <row r="139" spans="1:8">
      <c r="A139" s="92">
        <f t="shared" si="19"/>
        <v>0</v>
      </c>
      <c r="B139" s="269">
        <f t="shared" si="21"/>
        <v>0</v>
      </c>
      <c r="C139" s="269">
        <f t="shared" si="21"/>
        <v>0</v>
      </c>
      <c r="D139" s="269">
        <f t="shared" si="21"/>
        <v>0</v>
      </c>
      <c r="E139" s="269">
        <f t="shared" si="21"/>
        <v>0</v>
      </c>
      <c r="F139" s="269">
        <f t="shared" si="21"/>
        <v>0</v>
      </c>
      <c r="G139" s="269">
        <f t="shared" si="21"/>
        <v>0</v>
      </c>
      <c r="H139" s="269">
        <f t="shared" si="21"/>
        <v>0</v>
      </c>
    </row>
    <row r="140" spans="1:8">
      <c r="A140" s="92">
        <f t="shared" si="19"/>
        <v>0</v>
      </c>
      <c r="B140" s="269">
        <f t="shared" ref="B140:H141" si="22">B88-(B88*$G$6)</f>
        <v>0</v>
      </c>
      <c r="C140" s="269">
        <f t="shared" si="22"/>
        <v>0</v>
      </c>
      <c r="D140" s="269">
        <f t="shared" si="22"/>
        <v>0</v>
      </c>
      <c r="E140" s="269">
        <f t="shared" si="22"/>
        <v>0</v>
      </c>
      <c r="F140" s="269">
        <f t="shared" si="22"/>
        <v>0</v>
      </c>
      <c r="G140" s="269">
        <f t="shared" si="22"/>
        <v>0</v>
      </c>
      <c r="H140" s="269">
        <f t="shared" si="22"/>
        <v>0</v>
      </c>
    </row>
    <row r="141" spans="1:8">
      <c r="A141" s="92">
        <f t="shared" si="19"/>
        <v>0</v>
      </c>
      <c r="B141" s="269">
        <f t="shared" si="22"/>
        <v>0</v>
      </c>
      <c r="C141" s="269">
        <f t="shared" si="22"/>
        <v>0</v>
      </c>
      <c r="D141" s="269">
        <f t="shared" si="22"/>
        <v>0</v>
      </c>
      <c r="E141" s="269">
        <f t="shared" si="22"/>
        <v>0</v>
      </c>
      <c r="F141" s="269">
        <f t="shared" si="22"/>
        <v>0</v>
      </c>
      <c r="G141" s="269">
        <f t="shared" si="22"/>
        <v>0</v>
      </c>
      <c r="H141" s="269">
        <f t="shared" si="22"/>
        <v>0</v>
      </c>
    </row>
    <row r="142" spans="1:8">
      <c r="A142" s="92"/>
      <c r="B142" s="269"/>
      <c r="C142" s="269"/>
      <c r="D142" s="269"/>
      <c r="E142" s="269"/>
      <c r="F142" s="269"/>
      <c r="G142" s="269"/>
      <c r="H142" s="269"/>
    </row>
    <row r="143" spans="1:8">
      <c r="A143" s="94" t="str">
        <f t="shared" ref="A143:A161" si="23">A91</f>
        <v>Fruit  &amp; Vegetables Crop Production Details</v>
      </c>
      <c r="B143" s="269"/>
      <c r="C143" s="269"/>
      <c r="D143" s="269"/>
      <c r="E143" s="269"/>
      <c r="F143" s="269"/>
      <c r="G143" s="269"/>
      <c r="H143" s="269"/>
    </row>
    <row r="144" spans="1:8">
      <c r="A144" s="92" t="str">
        <f t="shared" si="23"/>
        <v>Onion</v>
      </c>
      <c r="B144" s="269">
        <f t="shared" ref="B144:H153" si="24">B92-(B92*$G$7)</f>
        <v>0</v>
      </c>
      <c r="C144" s="269">
        <f t="shared" si="24"/>
        <v>0</v>
      </c>
      <c r="D144" s="269">
        <f t="shared" si="24"/>
        <v>0</v>
      </c>
      <c r="E144" s="269">
        <f t="shared" si="24"/>
        <v>0</v>
      </c>
      <c r="F144" s="269">
        <f t="shared" si="24"/>
        <v>0</v>
      </c>
      <c r="G144" s="269">
        <f t="shared" si="24"/>
        <v>0</v>
      </c>
      <c r="H144" s="269">
        <f t="shared" si="24"/>
        <v>0</v>
      </c>
    </row>
    <row r="145" spans="1:8">
      <c r="A145" s="92" t="str">
        <f t="shared" si="23"/>
        <v>Tomato</v>
      </c>
      <c r="B145" s="269">
        <f t="shared" si="24"/>
        <v>0</v>
      </c>
      <c r="C145" s="269">
        <f t="shared" si="24"/>
        <v>0</v>
      </c>
      <c r="D145" s="269">
        <f t="shared" si="24"/>
        <v>0</v>
      </c>
      <c r="E145" s="269">
        <f t="shared" si="24"/>
        <v>0</v>
      </c>
      <c r="F145" s="269">
        <f t="shared" si="24"/>
        <v>0</v>
      </c>
      <c r="G145" s="269">
        <f t="shared" si="24"/>
        <v>0</v>
      </c>
      <c r="H145" s="269">
        <f t="shared" si="24"/>
        <v>0</v>
      </c>
    </row>
    <row r="146" spans="1:8">
      <c r="A146" s="92" t="str">
        <f t="shared" si="23"/>
        <v>Okra</v>
      </c>
      <c r="B146" s="269">
        <f t="shared" si="24"/>
        <v>0</v>
      </c>
      <c r="C146" s="269">
        <f t="shared" si="24"/>
        <v>0</v>
      </c>
      <c r="D146" s="269">
        <f t="shared" si="24"/>
        <v>0</v>
      </c>
      <c r="E146" s="269">
        <f t="shared" si="24"/>
        <v>0</v>
      </c>
      <c r="F146" s="269">
        <f t="shared" si="24"/>
        <v>0</v>
      </c>
      <c r="G146" s="269">
        <f t="shared" si="24"/>
        <v>0</v>
      </c>
      <c r="H146" s="269">
        <f t="shared" si="24"/>
        <v>0</v>
      </c>
    </row>
    <row r="147" spans="1:8">
      <c r="A147" s="92" t="str">
        <f t="shared" si="23"/>
        <v>Chilli</v>
      </c>
      <c r="B147" s="269">
        <f t="shared" si="24"/>
        <v>0</v>
      </c>
      <c r="C147" s="269">
        <f t="shared" si="24"/>
        <v>0</v>
      </c>
      <c r="D147" s="269">
        <f t="shared" si="24"/>
        <v>0</v>
      </c>
      <c r="E147" s="269">
        <f t="shared" si="24"/>
        <v>0</v>
      </c>
      <c r="F147" s="269">
        <f t="shared" si="24"/>
        <v>0</v>
      </c>
      <c r="G147" s="269">
        <f t="shared" si="24"/>
        <v>0</v>
      </c>
      <c r="H147" s="269">
        <f t="shared" si="24"/>
        <v>0</v>
      </c>
    </row>
    <row r="148" spans="1:8">
      <c r="A148" s="92" t="str">
        <f t="shared" si="23"/>
        <v>Potato</v>
      </c>
      <c r="B148" s="269">
        <f t="shared" si="24"/>
        <v>0</v>
      </c>
      <c r="C148" s="269">
        <f t="shared" si="24"/>
        <v>0</v>
      </c>
      <c r="D148" s="269">
        <f t="shared" si="24"/>
        <v>0</v>
      </c>
      <c r="E148" s="269">
        <f t="shared" si="24"/>
        <v>0</v>
      </c>
      <c r="F148" s="269">
        <f t="shared" si="24"/>
        <v>0</v>
      </c>
      <c r="G148" s="269">
        <f t="shared" si="24"/>
        <v>0</v>
      </c>
      <c r="H148" s="269">
        <f t="shared" si="24"/>
        <v>0</v>
      </c>
    </row>
    <row r="149" spans="1:8">
      <c r="A149" s="92">
        <f t="shared" si="23"/>
        <v>0</v>
      </c>
      <c r="B149" s="269">
        <f t="shared" si="24"/>
        <v>0</v>
      </c>
      <c r="C149" s="269">
        <f t="shared" si="24"/>
        <v>0</v>
      </c>
      <c r="D149" s="269">
        <f t="shared" si="24"/>
        <v>0</v>
      </c>
      <c r="E149" s="269">
        <f t="shared" si="24"/>
        <v>0</v>
      </c>
      <c r="F149" s="269">
        <f t="shared" si="24"/>
        <v>0</v>
      </c>
      <c r="G149" s="269">
        <f t="shared" si="24"/>
        <v>0</v>
      </c>
      <c r="H149" s="269">
        <f t="shared" si="24"/>
        <v>0</v>
      </c>
    </row>
    <row r="150" spans="1:8">
      <c r="A150" s="92">
        <f t="shared" si="23"/>
        <v>0</v>
      </c>
      <c r="B150" s="269">
        <f t="shared" si="24"/>
        <v>0</v>
      </c>
      <c r="C150" s="269">
        <f t="shared" si="24"/>
        <v>0</v>
      </c>
      <c r="D150" s="269">
        <f t="shared" si="24"/>
        <v>0</v>
      </c>
      <c r="E150" s="269">
        <f t="shared" si="24"/>
        <v>0</v>
      </c>
      <c r="F150" s="269">
        <f t="shared" si="24"/>
        <v>0</v>
      </c>
      <c r="G150" s="269">
        <f t="shared" si="24"/>
        <v>0</v>
      </c>
      <c r="H150" s="269">
        <f t="shared" si="24"/>
        <v>0</v>
      </c>
    </row>
    <row r="151" spans="1:8">
      <c r="A151" s="92">
        <f t="shared" si="23"/>
        <v>0</v>
      </c>
      <c r="B151" s="269">
        <f t="shared" si="24"/>
        <v>0</v>
      </c>
      <c r="C151" s="269">
        <f t="shared" si="24"/>
        <v>0</v>
      </c>
      <c r="D151" s="269">
        <f t="shared" si="24"/>
        <v>0</v>
      </c>
      <c r="E151" s="269">
        <f t="shared" si="24"/>
        <v>0</v>
      </c>
      <c r="F151" s="269">
        <f t="shared" si="24"/>
        <v>0</v>
      </c>
      <c r="G151" s="269">
        <f t="shared" si="24"/>
        <v>0</v>
      </c>
      <c r="H151" s="269">
        <f t="shared" si="24"/>
        <v>0</v>
      </c>
    </row>
    <row r="152" spans="1:8">
      <c r="A152" s="92">
        <f t="shared" si="23"/>
        <v>0</v>
      </c>
      <c r="B152" s="269">
        <f t="shared" si="24"/>
        <v>0</v>
      </c>
      <c r="C152" s="269">
        <f t="shared" si="24"/>
        <v>0</v>
      </c>
      <c r="D152" s="269">
        <f t="shared" si="24"/>
        <v>0</v>
      </c>
      <c r="E152" s="269">
        <f t="shared" si="24"/>
        <v>0</v>
      </c>
      <c r="F152" s="269">
        <f t="shared" si="24"/>
        <v>0</v>
      </c>
      <c r="G152" s="269">
        <f t="shared" si="24"/>
        <v>0</v>
      </c>
      <c r="H152" s="269">
        <f t="shared" si="24"/>
        <v>0</v>
      </c>
    </row>
    <row r="153" spans="1:8">
      <c r="A153" s="92" t="str">
        <f t="shared" si="23"/>
        <v>Onion</v>
      </c>
      <c r="B153" s="269">
        <f t="shared" si="24"/>
        <v>0</v>
      </c>
      <c r="C153" s="269">
        <f t="shared" si="24"/>
        <v>0</v>
      </c>
      <c r="D153" s="269">
        <f t="shared" si="24"/>
        <v>0</v>
      </c>
      <c r="E153" s="269">
        <f t="shared" si="24"/>
        <v>0</v>
      </c>
      <c r="F153" s="269">
        <f t="shared" si="24"/>
        <v>0</v>
      </c>
      <c r="G153" s="269">
        <f t="shared" si="24"/>
        <v>0</v>
      </c>
      <c r="H153" s="269">
        <f t="shared" si="24"/>
        <v>0</v>
      </c>
    </row>
    <row r="154" spans="1:8">
      <c r="A154" s="92" t="str">
        <f t="shared" si="23"/>
        <v>Tomato</v>
      </c>
      <c r="B154" s="269">
        <f t="shared" ref="B154:H161" si="25">B102-(B102*$G$7)</f>
        <v>0</v>
      </c>
      <c r="C154" s="269">
        <f t="shared" si="25"/>
        <v>0</v>
      </c>
      <c r="D154" s="269">
        <f t="shared" si="25"/>
        <v>0</v>
      </c>
      <c r="E154" s="269">
        <f t="shared" si="25"/>
        <v>0</v>
      </c>
      <c r="F154" s="269">
        <f t="shared" si="25"/>
        <v>0</v>
      </c>
      <c r="G154" s="269">
        <f t="shared" si="25"/>
        <v>0</v>
      </c>
      <c r="H154" s="269">
        <f t="shared" si="25"/>
        <v>0</v>
      </c>
    </row>
    <row r="155" spans="1:8">
      <c r="A155" s="92" t="str">
        <f t="shared" si="23"/>
        <v>Okra</v>
      </c>
      <c r="B155" s="269">
        <f t="shared" si="25"/>
        <v>0</v>
      </c>
      <c r="C155" s="269">
        <f t="shared" si="25"/>
        <v>0</v>
      </c>
      <c r="D155" s="269">
        <f t="shared" si="25"/>
        <v>0</v>
      </c>
      <c r="E155" s="269">
        <f t="shared" si="25"/>
        <v>0</v>
      </c>
      <c r="F155" s="269">
        <f t="shared" si="25"/>
        <v>0</v>
      </c>
      <c r="G155" s="269">
        <f t="shared" si="25"/>
        <v>0</v>
      </c>
      <c r="H155" s="269">
        <f t="shared" si="25"/>
        <v>0</v>
      </c>
    </row>
    <row r="156" spans="1:8">
      <c r="A156" s="92" t="str">
        <f t="shared" si="23"/>
        <v>Chilli</v>
      </c>
      <c r="B156" s="269">
        <f t="shared" si="25"/>
        <v>0</v>
      </c>
      <c r="C156" s="269">
        <f t="shared" si="25"/>
        <v>0</v>
      </c>
      <c r="D156" s="269">
        <f t="shared" si="25"/>
        <v>0</v>
      </c>
      <c r="E156" s="269">
        <f t="shared" si="25"/>
        <v>0</v>
      </c>
      <c r="F156" s="269">
        <f t="shared" si="25"/>
        <v>0</v>
      </c>
      <c r="G156" s="269">
        <f t="shared" si="25"/>
        <v>0</v>
      </c>
      <c r="H156" s="269">
        <f t="shared" si="25"/>
        <v>0</v>
      </c>
    </row>
    <row r="157" spans="1:8">
      <c r="A157" s="92" t="str">
        <f t="shared" si="23"/>
        <v>Brinjal</v>
      </c>
      <c r="B157" s="269">
        <f t="shared" si="25"/>
        <v>0</v>
      </c>
      <c r="C157" s="269">
        <f t="shared" si="25"/>
        <v>0</v>
      </c>
      <c r="D157" s="269">
        <f t="shared" si="25"/>
        <v>0</v>
      </c>
      <c r="E157" s="269">
        <f t="shared" si="25"/>
        <v>0</v>
      </c>
      <c r="F157" s="269">
        <f t="shared" si="25"/>
        <v>0</v>
      </c>
      <c r="G157" s="269">
        <f t="shared" si="25"/>
        <v>0</v>
      </c>
      <c r="H157" s="269">
        <f t="shared" si="25"/>
        <v>0</v>
      </c>
    </row>
    <row r="158" spans="1:8">
      <c r="A158" s="92">
        <f t="shared" si="23"/>
        <v>0</v>
      </c>
      <c r="B158" s="269">
        <f t="shared" si="25"/>
        <v>0</v>
      </c>
      <c r="C158" s="269">
        <f t="shared" si="25"/>
        <v>0</v>
      </c>
      <c r="D158" s="269">
        <f t="shared" si="25"/>
        <v>0</v>
      </c>
      <c r="E158" s="269">
        <f t="shared" si="25"/>
        <v>0</v>
      </c>
      <c r="F158" s="269">
        <f t="shared" si="25"/>
        <v>0</v>
      </c>
      <c r="G158" s="269">
        <f t="shared" si="25"/>
        <v>0</v>
      </c>
      <c r="H158" s="269">
        <f t="shared" si="25"/>
        <v>0</v>
      </c>
    </row>
    <row r="159" spans="1:8">
      <c r="A159" s="92">
        <f t="shared" si="23"/>
        <v>0</v>
      </c>
      <c r="B159" s="269">
        <f t="shared" si="25"/>
        <v>0</v>
      </c>
      <c r="C159" s="269">
        <f t="shared" si="25"/>
        <v>0</v>
      </c>
      <c r="D159" s="269">
        <f t="shared" si="25"/>
        <v>0</v>
      </c>
      <c r="E159" s="269">
        <f t="shared" si="25"/>
        <v>0</v>
      </c>
      <c r="F159" s="269">
        <f t="shared" si="25"/>
        <v>0</v>
      </c>
      <c r="G159" s="269">
        <f t="shared" si="25"/>
        <v>0</v>
      </c>
      <c r="H159" s="269">
        <f t="shared" si="25"/>
        <v>0</v>
      </c>
    </row>
    <row r="160" spans="1:8">
      <c r="A160" s="92">
        <f t="shared" si="23"/>
        <v>0</v>
      </c>
      <c r="B160" s="269">
        <f t="shared" si="25"/>
        <v>0</v>
      </c>
      <c r="C160" s="269">
        <f t="shared" si="25"/>
        <v>0</v>
      </c>
      <c r="D160" s="269">
        <f t="shared" si="25"/>
        <v>0</v>
      </c>
      <c r="E160" s="269">
        <f t="shared" si="25"/>
        <v>0</v>
      </c>
      <c r="F160" s="269">
        <f t="shared" si="25"/>
        <v>0</v>
      </c>
      <c r="G160" s="269">
        <f t="shared" si="25"/>
        <v>0</v>
      </c>
      <c r="H160" s="269">
        <f t="shared" si="25"/>
        <v>0</v>
      </c>
    </row>
    <row r="161" spans="1:20">
      <c r="A161" s="92">
        <f t="shared" si="23"/>
        <v>0</v>
      </c>
      <c r="B161" s="269">
        <f t="shared" si="25"/>
        <v>0</v>
      </c>
      <c r="C161" s="269">
        <f t="shared" si="25"/>
        <v>0</v>
      </c>
      <c r="D161" s="269">
        <f t="shared" si="25"/>
        <v>0</v>
      </c>
      <c r="E161" s="269">
        <f t="shared" si="25"/>
        <v>0</v>
      </c>
      <c r="F161" s="269">
        <f t="shared" si="25"/>
        <v>0</v>
      </c>
      <c r="G161" s="269">
        <f t="shared" si="25"/>
        <v>0</v>
      </c>
      <c r="H161" s="269">
        <f t="shared" si="25"/>
        <v>0</v>
      </c>
    </row>
    <row r="162" spans="1:20">
      <c r="A162" s="92">
        <f t="shared" ref="A162:A168" si="26">A110</f>
        <v>0</v>
      </c>
      <c r="B162" s="269">
        <f t="shared" ref="B162:H162" si="27">B110-(B110*$G$7)</f>
        <v>0</v>
      </c>
      <c r="C162" s="269">
        <f t="shared" si="27"/>
        <v>0</v>
      </c>
      <c r="D162" s="269">
        <f t="shared" si="27"/>
        <v>0</v>
      </c>
      <c r="E162" s="269">
        <f t="shared" si="27"/>
        <v>0</v>
      </c>
      <c r="F162" s="269">
        <f t="shared" si="27"/>
        <v>0</v>
      </c>
      <c r="G162" s="269">
        <f t="shared" si="27"/>
        <v>0</v>
      </c>
      <c r="H162" s="269">
        <f t="shared" si="27"/>
        <v>0</v>
      </c>
    </row>
    <row r="163" spans="1:20">
      <c r="A163" s="92">
        <f t="shared" si="26"/>
        <v>0</v>
      </c>
      <c r="B163" s="269">
        <f t="shared" ref="B163:H163" si="28">B111-(B111*$G$7)</f>
        <v>0</v>
      </c>
      <c r="C163" s="269">
        <f t="shared" si="28"/>
        <v>0</v>
      </c>
      <c r="D163" s="269">
        <f t="shared" si="28"/>
        <v>0</v>
      </c>
      <c r="E163" s="269">
        <f t="shared" si="28"/>
        <v>0</v>
      </c>
      <c r="F163" s="269">
        <f t="shared" si="28"/>
        <v>0</v>
      </c>
      <c r="G163" s="269">
        <f t="shared" si="28"/>
        <v>0</v>
      </c>
      <c r="H163" s="269">
        <f t="shared" si="28"/>
        <v>0</v>
      </c>
    </row>
    <row r="164" spans="1:20">
      <c r="A164" s="92">
        <f t="shared" si="26"/>
        <v>0</v>
      </c>
      <c r="B164" s="269">
        <f t="shared" ref="B164:H165" si="29">B112-(B112*$G$7)</f>
        <v>0</v>
      </c>
      <c r="C164" s="269">
        <f t="shared" si="29"/>
        <v>0</v>
      </c>
      <c r="D164" s="269">
        <f t="shared" si="29"/>
        <v>0</v>
      </c>
      <c r="E164" s="269">
        <f t="shared" si="29"/>
        <v>0</v>
      </c>
      <c r="F164" s="269">
        <f t="shared" si="29"/>
        <v>0</v>
      </c>
      <c r="G164" s="269">
        <f t="shared" si="29"/>
        <v>0</v>
      </c>
      <c r="H164" s="269">
        <f t="shared" si="29"/>
        <v>0</v>
      </c>
    </row>
    <row r="165" spans="1:20">
      <c r="A165" s="92" t="str">
        <f t="shared" si="26"/>
        <v>Pomegranate</v>
      </c>
      <c r="B165" s="269">
        <f t="shared" si="29"/>
        <v>0</v>
      </c>
      <c r="C165" s="269">
        <f t="shared" ref="C165:H168" si="30">C113-(C113*$G$7)</f>
        <v>0</v>
      </c>
      <c r="D165" s="269">
        <f t="shared" si="30"/>
        <v>0</v>
      </c>
      <c r="E165" s="269">
        <f t="shared" si="30"/>
        <v>0</v>
      </c>
      <c r="F165" s="269">
        <f t="shared" si="30"/>
        <v>0</v>
      </c>
      <c r="G165" s="269">
        <f t="shared" si="30"/>
        <v>0</v>
      </c>
      <c r="H165" s="269">
        <f t="shared" si="30"/>
        <v>0</v>
      </c>
    </row>
    <row r="166" spans="1:20">
      <c r="A166" s="92" t="str">
        <f t="shared" si="26"/>
        <v>Custard Apple</v>
      </c>
      <c r="B166" s="269">
        <f>B114-(B114*$G$7)</f>
        <v>0</v>
      </c>
      <c r="C166" s="269">
        <f t="shared" si="30"/>
        <v>0</v>
      </c>
      <c r="D166" s="269">
        <f t="shared" si="30"/>
        <v>0</v>
      </c>
      <c r="E166" s="269">
        <f t="shared" si="30"/>
        <v>0</v>
      </c>
      <c r="F166" s="269">
        <f t="shared" si="30"/>
        <v>0</v>
      </c>
      <c r="G166" s="269">
        <f t="shared" si="30"/>
        <v>0</v>
      </c>
      <c r="H166" s="269">
        <f t="shared" si="30"/>
        <v>0</v>
      </c>
    </row>
    <row r="167" spans="1:20">
      <c r="A167" s="92" t="str">
        <f t="shared" si="26"/>
        <v>Guava</v>
      </c>
      <c r="B167" s="269">
        <f>B115-(B115*$G$7)</f>
        <v>0</v>
      </c>
      <c r="C167" s="269">
        <f t="shared" si="30"/>
        <v>0</v>
      </c>
      <c r="D167" s="269">
        <f t="shared" si="30"/>
        <v>0</v>
      </c>
      <c r="E167" s="269">
        <f t="shared" si="30"/>
        <v>0</v>
      </c>
      <c r="F167" s="269">
        <f t="shared" si="30"/>
        <v>0</v>
      </c>
      <c r="G167" s="269">
        <f t="shared" si="30"/>
        <v>0</v>
      </c>
      <c r="H167" s="269">
        <f t="shared" si="30"/>
        <v>0</v>
      </c>
    </row>
    <row r="168" spans="1:20">
      <c r="A168" s="92" t="str">
        <f t="shared" si="26"/>
        <v>Citrus</v>
      </c>
      <c r="B168" s="269">
        <f>B116-(B116*$G$7)</f>
        <v>0</v>
      </c>
      <c r="C168" s="269">
        <f t="shared" si="30"/>
        <v>0</v>
      </c>
      <c r="D168" s="269">
        <f t="shared" si="30"/>
        <v>0</v>
      </c>
      <c r="E168" s="269">
        <f t="shared" si="30"/>
        <v>0</v>
      </c>
      <c r="F168" s="269">
        <f t="shared" si="30"/>
        <v>0</v>
      </c>
      <c r="G168" s="269">
        <f t="shared" si="30"/>
        <v>0</v>
      </c>
      <c r="H168" s="269">
        <f t="shared" si="30"/>
        <v>0</v>
      </c>
    </row>
    <row r="169" spans="1:20">
      <c r="A169" s="180"/>
    </row>
    <row r="170" spans="1:20" ht="17.5">
      <c r="A170" s="416" t="s">
        <v>604</v>
      </c>
      <c r="B170" s="416"/>
      <c r="C170" s="416"/>
      <c r="D170" s="416"/>
      <c r="E170" s="416"/>
      <c r="F170" s="416"/>
      <c r="G170" s="416"/>
      <c r="H170" s="416"/>
      <c r="I170" s="416"/>
      <c r="J170" s="416"/>
    </row>
    <row r="171" spans="1:20">
      <c r="A171" s="16"/>
      <c r="B171" s="16"/>
      <c r="C171" s="16"/>
      <c r="D171" s="16"/>
      <c r="E171" s="16"/>
      <c r="F171" s="16"/>
      <c r="G171" s="16"/>
      <c r="H171" s="16"/>
    </row>
    <row r="172" spans="1:20">
      <c r="A172" s="190"/>
      <c r="B172" s="190"/>
      <c r="C172" s="190"/>
      <c r="D172" s="191">
        <v>1</v>
      </c>
      <c r="E172" s="192">
        <f t="shared" ref="E172:J172" si="31">(D172*5%)+D172</f>
        <v>1.05</v>
      </c>
      <c r="F172" s="192">
        <f t="shared" si="31"/>
        <v>1.1025</v>
      </c>
      <c r="G172" s="192">
        <f t="shared" si="31"/>
        <v>1.1576250000000001</v>
      </c>
      <c r="H172" s="192">
        <f t="shared" si="31"/>
        <v>1.2155062500000002</v>
      </c>
      <c r="I172" s="192">
        <f t="shared" si="31"/>
        <v>1.2762815625000004</v>
      </c>
      <c r="J172" s="192">
        <f t="shared" si="31"/>
        <v>1.3400956406250004</v>
      </c>
      <c r="K172" s="87"/>
      <c r="L172" s="87"/>
      <c r="M172" s="87"/>
      <c r="N172" s="87"/>
      <c r="O172" s="87"/>
      <c r="P172" s="87"/>
      <c r="Q172" s="87"/>
      <c r="R172" s="87"/>
      <c r="S172" s="87"/>
      <c r="T172" s="87"/>
    </row>
    <row r="173" spans="1:20">
      <c r="A173" s="87"/>
      <c r="B173" s="87"/>
      <c r="C173" s="87"/>
      <c r="D173" s="87"/>
      <c r="E173" s="87"/>
      <c r="F173" s="87"/>
      <c r="G173" s="87"/>
      <c r="H173" s="87"/>
      <c r="I173" s="87"/>
      <c r="J173" s="87"/>
      <c r="K173" s="87"/>
      <c r="L173" s="87"/>
      <c r="M173" s="87"/>
      <c r="N173" s="87"/>
      <c r="O173" s="87"/>
      <c r="P173" s="87"/>
      <c r="Q173" s="87"/>
      <c r="R173" s="87"/>
      <c r="S173" s="87"/>
      <c r="T173" s="87"/>
    </row>
    <row r="174" spans="1:20">
      <c r="A174" s="87"/>
      <c r="B174" s="87"/>
      <c r="C174" s="87"/>
      <c r="D174" s="172"/>
      <c r="E174" s="172"/>
      <c r="F174" s="172"/>
      <c r="G174" s="172"/>
      <c r="H174" s="172"/>
      <c r="I174" s="172"/>
      <c r="J174" s="172"/>
      <c r="K174" s="87"/>
      <c r="L174" s="87"/>
    </row>
    <row r="175" spans="1:20">
      <c r="A175" s="75" t="s">
        <v>0</v>
      </c>
      <c r="B175" s="75"/>
      <c r="C175" s="75" t="s">
        <v>154</v>
      </c>
      <c r="D175" s="76" t="s">
        <v>2</v>
      </c>
      <c r="E175" s="76" t="s">
        <v>3</v>
      </c>
      <c r="F175" s="76" t="s">
        <v>4</v>
      </c>
      <c r="G175" s="76" t="s">
        <v>5</v>
      </c>
      <c r="H175" s="76" t="s">
        <v>6</v>
      </c>
      <c r="I175" s="76" t="s">
        <v>171</v>
      </c>
      <c r="J175" s="76" t="s">
        <v>170</v>
      </c>
      <c r="K175" s="87"/>
      <c r="L175" s="87"/>
    </row>
    <row r="176" spans="1:20">
      <c r="A176" s="90"/>
      <c r="B176" s="90"/>
      <c r="C176" s="90"/>
      <c r="D176" s="88"/>
      <c r="E176" s="88"/>
      <c r="F176" s="88"/>
      <c r="G176" s="88"/>
      <c r="H176" s="88"/>
      <c r="I176" s="88"/>
      <c r="J176" s="88"/>
      <c r="K176" s="87"/>
      <c r="L176" s="87"/>
    </row>
    <row r="177" spans="1:12">
      <c r="A177" s="90" t="s">
        <v>127</v>
      </c>
      <c r="B177" s="90"/>
      <c r="C177" s="90"/>
      <c r="D177" s="88"/>
      <c r="E177" s="88"/>
      <c r="F177" s="88"/>
      <c r="G177" s="88"/>
      <c r="H177" s="88"/>
      <c r="I177" s="88"/>
      <c r="J177" s="88"/>
      <c r="K177" s="87"/>
      <c r="L177" s="87"/>
    </row>
    <row r="178" spans="1:12">
      <c r="A178" s="88" t="str">
        <f t="shared" ref="A178:A198" si="32">A120</f>
        <v>Soybean</v>
      </c>
      <c r="B178" s="88" t="s">
        <v>370</v>
      </c>
      <c r="C178" s="233">
        <v>4000</v>
      </c>
      <c r="D178" s="193">
        <f>(B120*(1-'5.Closing Stock &amp; W Capital'!$D$16))*C$178*D172</f>
        <v>0</v>
      </c>
      <c r="E178" s="193">
        <f>((C120*(1-'5.Closing Stock &amp; W Capital'!$D$16))+(B120*'5.Closing Stock &amp; W Capital'!$D$16))*$C178*E$172</f>
        <v>0</v>
      </c>
      <c r="F178" s="193">
        <f>((D120*(1-'5.Closing Stock &amp; W Capital'!$D$16))+(C120*'5.Closing Stock &amp; W Capital'!$D$16))*$C178*F$172</f>
        <v>0</v>
      </c>
      <c r="G178" s="193">
        <f>((E120*(1-'5.Closing Stock &amp; W Capital'!$D$16))+(D120*'5.Closing Stock &amp; W Capital'!$D$16))*$C178*G$172</f>
        <v>0</v>
      </c>
      <c r="H178" s="193">
        <f>((F120*(1-'5.Closing Stock &amp; W Capital'!$D$16))+(E120*'5.Closing Stock &amp; W Capital'!$D$16))*$C178*H$172</f>
        <v>0</v>
      </c>
      <c r="I178" s="193">
        <f>((G120*(1-'5.Closing Stock &amp; W Capital'!$D$16))+(F120*'5.Closing Stock &amp; W Capital'!$D$16))*$C178*I$172</f>
        <v>0</v>
      </c>
      <c r="J178" s="193">
        <f>((H120*(1-'5.Closing Stock &amp; W Capital'!$D$16))+(G120*'5.Closing Stock &amp; W Capital'!$D$16))*$C178*J$172</f>
        <v>0</v>
      </c>
      <c r="K178" s="87"/>
      <c r="L178" s="87"/>
    </row>
    <row r="179" spans="1:12">
      <c r="A179" s="88" t="str">
        <f t="shared" si="32"/>
        <v>Red Gram/Tur</v>
      </c>
      <c r="B179" s="88" t="s">
        <v>370</v>
      </c>
      <c r="C179" s="233">
        <v>6000</v>
      </c>
      <c r="D179" s="193">
        <f>(B121*(1-'5.Closing Stock &amp; W Capital'!$D$16))*$C179*D$172</f>
        <v>0</v>
      </c>
      <c r="E179" s="193">
        <f>((C121*(1-'5.Closing Stock &amp; W Capital'!$D$16))+(B121*'5.Closing Stock &amp; W Capital'!$D$16))*$C179*E$172</f>
        <v>0</v>
      </c>
      <c r="F179" s="193">
        <f>((D121*(1-'5.Closing Stock &amp; W Capital'!$D$16))+(C121*'5.Closing Stock &amp; W Capital'!$D$16))*$C179*F$172</f>
        <v>0</v>
      </c>
      <c r="G179" s="193">
        <f>((E121*(1-'5.Closing Stock &amp; W Capital'!$D$16))+(D121*'5.Closing Stock &amp; W Capital'!$D$16))*$C179*G$172</f>
        <v>0</v>
      </c>
      <c r="H179" s="193">
        <f>((F121*(1-'5.Closing Stock &amp; W Capital'!$D$16))+(E121*'5.Closing Stock &amp; W Capital'!$D$16))*$C179*H$172</f>
        <v>0</v>
      </c>
      <c r="I179" s="193">
        <f>((G121*(1-'5.Closing Stock &amp; W Capital'!$D$16))+(F121*'5.Closing Stock &amp; W Capital'!$D$16))*$C179*I$172</f>
        <v>0</v>
      </c>
      <c r="J179" s="193">
        <f>((H121*(1-'5.Closing Stock &amp; W Capital'!$D$16))+(G121*'5.Closing Stock &amp; W Capital'!$D$16))*$C179*J$172</f>
        <v>0</v>
      </c>
      <c r="K179" s="87"/>
      <c r="L179" s="87"/>
    </row>
    <row r="180" spans="1:12">
      <c r="A180" s="88" t="str">
        <f t="shared" si="32"/>
        <v>Paddy/Rice</v>
      </c>
      <c r="B180" s="88" t="s">
        <v>370</v>
      </c>
      <c r="C180" s="233"/>
      <c r="D180" s="193">
        <f>(B122*(1-'5.Closing Stock &amp; W Capital'!$D$16))*$C180*D$172</f>
        <v>0</v>
      </c>
      <c r="E180" s="193">
        <f>((C122*(1-'5.Closing Stock &amp; W Capital'!$D$16))+(B122*'5.Closing Stock &amp; W Capital'!$D$16))*$C180*E$172</f>
        <v>0</v>
      </c>
      <c r="F180" s="193">
        <f>((D122*(1-'5.Closing Stock &amp; W Capital'!$D$16))+(C122*'5.Closing Stock &amp; W Capital'!$D$16))*$C180*F$172</f>
        <v>0</v>
      </c>
      <c r="G180" s="193">
        <f>((E122*(1-'5.Closing Stock &amp; W Capital'!$D$16))+(D122*'5.Closing Stock &amp; W Capital'!$D$16))*$C180*G$172</f>
        <v>0</v>
      </c>
      <c r="H180" s="193">
        <f>((F122*(1-'5.Closing Stock &amp; W Capital'!$D$16))+(E122*'5.Closing Stock &amp; W Capital'!$D$16))*$C180*H$172</f>
        <v>0</v>
      </c>
      <c r="I180" s="193">
        <f>((G122*(1-'5.Closing Stock &amp; W Capital'!$D$16))+(F122*'5.Closing Stock &amp; W Capital'!$D$16))*$C180*I$172</f>
        <v>0</v>
      </c>
      <c r="J180" s="193">
        <f>((H122*(1-'5.Closing Stock &amp; W Capital'!$D$16))+(G122*'5.Closing Stock &amp; W Capital'!$D$16))*$C180*J$172</f>
        <v>0</v>
      </c>
      <c r="K180" s="87"/>
      <c r="L180" s="87"/>
    </row>
    <row r="181" spans="1:12">
      <c r="A181" s="88" t="str">
        <f t="shared" si="32"/>
        <v>Green Gram/ Moong</v>
      </c>
      <c r="B181" s="88" t="s">
        <v>370</v>
      </c>
      <c r="C181" s="233">
        <v>6000</v>
      </c>
      <c r="D181" s="193">
        <f>(B123*(1-'5.Closing Stock &amp; W Capital'!$D$16))*$C181*D$172</f>
        <v>0</v>
      </c>
      <c r="E181" s="193">
        <f>((C123*(1-'5.Closing Stock &amp; W Capital'!$D$16))+(B123*'5.Closing Stock &amp; W Capital'!$D$16))*$C181*E$172</f>
        <v>0</v>
      </c>
      <c r="F181" s="193">
        <f>((D123*(1-'5.Closing Stock &amp; W Capital'!$D$16))+(C123*'5.Closing Stock &amp; W Capital'!$D$16))*$C181*F$172</f>
        <v>0</v>
      </c>
      <c r="G181" s="193">
        <f>((E123*(1-'5.Closing Stock &amp; W Capital'!$D$16))+(D123*'5.Closing Stock &amp; W Capital'!$D$16))*$C181*G$172</f>
        <v>0</v>
      </c>
      <c r="H181" s="193">
        <f>((F123*(1-'5.Closing Stock &amp; W Capital'!$D$16))+(E123*'5.Closing Stock &amp; W Capital'!$D$16))*$C181*H$172</f>
        <v>0</v>
      </c>
      <c r="I181" s="193">
        <f>((G123*(1-'5.Closing Stock &amp; W Capital'!$D$16))+(F123*'5.Closing Stock &amp; W Capital'!$D$16))*$C181*I$172</f>
        <v>0</v>
      </c>
      <c r="J181" s="193">
        <f>((H123*(1-'5.Closing Stock &amp; W Capital'!$D$16))+(G123*'5.Closing Stock &amp; W Capital'!$D$16))*$C181*J$172</f>
        <v>0</v>
      </c>
      <c r="K181" s="87"/>
      <c r="L181" s="87"/>
    </row>
    <row r="182" spans="1:12">
      <c r="A182" s="88" t="str">
        <f t="shared" si="32"/>
        <v>Maize</v>
      </c>
      <c r="B182" s="88" t="s">
        <v>370</v>
      </c>
      <c r="C182" s="233"/>
      <c r="D182" s="193">
        <f>(B124*(1-'5.Closing Stock &amp; W Capital'!$D$16))*$C182*D$172</f>
        <v>0</v>
      </c>
      <c r="E182" s="193">
        <f>((C124*(1-'5.Closing Stock &amp; W Capital'!$D$16))+(B124*'5.Closing Stock &amp; W Capital'!$D$16))*$C182*E$172</f>
        <v>0</v>
      </c>
      <c r="F182" s="193">
        <f>((D124*(1-'5.Closing Stock &amp; W Capital'!$D$16))+(C124*'5.Closing Stock &amp; W Capital'!$D$16))*$C182*F$172</f>
        <v>0</v>
      </c>
      <c r="G182" s="193">
        <f>((E124*(1-'5.Closing Stock &amp; W Capital'!$D$16))+(D124*'5.Closing Stock &amp; W Capital'!$D$16))*$C182*G$172</f>
        <v>0</v>
      </c>
      <c r="H182" s="193">
        <f>((F124*(1-'5.Closing Stock &amp; W Capital'!$D$16))+(E124*'5.Closing Stock &amp; W Capital'!$D$16))*$C182*H$172</f>
        <v>0</v>
      </c>
      <c r="I182" s="193">
        <f>((G124*(1-'5.Closing Stock &amp; W Capital'!$D$16))+(F124*'5.Closing Stock &amp; W Capital'!$D$16))*$C182*I$172</f>
        <v>0</v>
      </c>
      <c r="J182" s="193">
        <f>((H124*(1-'5.Closing Stock &amp; W Capital'!$D$16))+(G124*'5.Closing Stock &amp; W Capital'!$D$16))*$C182*J$172</f>
        <v>0</v>
      </c>
      <c r="K182" s="87"/>
      <c r="L182" s="87"/>
    </row>
    <row r="183" spans="1:12">
      <c r="A183" s="88" t="str">
        <f t="shared" si="32"/>
        <v>Black Gram/Udid</v>
      </c>
      <c r="B183" s="88" t="s">
        <v>370</v>
      </c>
      <c r="C183" s="233">
        <v>6500</v>
      </c>
      <c r="D183" s="193">
        <f>(B125*(1-'5.Closing Stock &amp; W Capital'!$D$16))*$C183*D$172</f>
        <v>0</v>
      </c>
      <c r="E183" s="193">
        <f>((C125*(1-'5.Closing Stock &amp; W Capital'!$D$16))+(B125*'5.Closing Stock &amp; W Capital'!$D$16))*$C183*E$172</f>
        <v>0</v>
      </c>
      <c r="F183" s="193">
        <f>((D125*(1-'5.Closing Stock &amp; W Capital'!$D$16))+(C125*'5.Closing Stock &amp; W Capital'!$D$16))*$C183*F$172</f>
        <v>0</v>
      </c>
      <c r="G183" s="193">
        <f>((E125*(1-'5.Closing Stock &amp; W Capital'!$D$16))+(D125*'5.Closing Stock &amp; W Capital'!$D$16))*$C183*G$172</f>
        <v>0</v>
      </c>
      <c r="H183" s="193">
        <f>((F125*(1-'5.Closing Stock &amp; W Capital'!$D$16))+(E125*'5.Closing Stock &amp; W Capital'!$D$16))*$C183*H$172</f>
        <v>0</v>
      </c>
      <c r="I183" s="193">
        <f>((G125*(1-'5.Closing Stock &amp; W Capital'!$D$16))+(F125*'5.Closing Stock &amp; W Capital'!$D$16))*$C183*I$172</f>
        <v>0</v>
      </c>
      <c r="J183" s="193">
        <f>((H125*(1-'5.Closing Stock &amp; W Capital'!$D$16))+(G125*'5.Closing Stock &amp; W Capital'!$D$16))*$C183*J$172</f>
        <v>0</v>
      </c>
      <c r="K183" s="87"/>
      <c r="L183" s="87"/>
    </row>
    <row r="184" spans="1:12">
      <c r="A184" s="88" t="str">
        <f t="shared" si="32"/>
        <v>Bajra</v>
      </c>
      <c r="B184" s="88" t="s">
        <v>370</v>
      </c>
      <c r="C184" s="233">
        <v>2000</v>
      </c>
      <c r="D184" s="193">
        <f>(B126*(1-'5.Closing Stock &amp; W Capital'!$D$16))*$C184*D$172</f>
        <v>0</v>
      </c>
      <c r="E184" s="193">
        <f>((C126*(1-'5.Closing Stock &amp; W Capital'!$D$16))+(B126*'5.Closing Stock &amp; W Capital'!$D$16))*$C184*E$172</f>
        <v>0</v>
      </c>
      <c r="F184" s="193">
        <f>((D126*(1-'5.Closing Stock &amp; W Capital'!$D$16))+(C126*'5.Closing Stock &amp; W Capital'!$D$16))*$C184*F$172</f>
        <v>0</v>
      </c>
      <c r="G184" s="193">
        <f>((E126*(1-'5.Closing Stock &amp; W Capital'!$D$16))+(D126*'5.Closing Stock &amp; W Capital'!$D$16))*$C184*G$172</f>
        <v>0</v>
      </c>
      <c r="H184" s="193">
        <f>((F126*(1-'5.Closing Stock &amp; W Capital'!$D$16))+(E126*'5.Closing Stock &amp; W Capital'!$D$16))*$C184*H$172</f>
        <v>0</v>
      </c>
      <c r="I184" s="193">
        <f>((G126*(1-'5.Closing Stock &amp; W Capital'!$D$16))+(F126*'5.Closing Stock &amp; W Capital'!$D$16))*$C184*I$172</f>
        <v>0</v>
      </c>
      <c r="J184" s="193">
        <f>((H126*(1-'5.Closing Stock &amp; W Capital'!$D$16))+(G126*'5.Closing Stock &amp; W Capital'!$D$16))*$C184*J$172</f>
        <v>0</v>
      </c>
      <c r="K184" s="87"/>
      <c r="L184" s="87"/>
    </row>
    <row r="185" spans="1:12">
      <c r="A185" s="88" t="str">
        <f t="shared" si="32"/>
        <v>Bengal Gram/Channa</v>
      </c>
      <c r="B185" s="88" t="s">
        <v>370</v>
      </c>
      <c r="C185" s="233"/>
      <c r="D185" s="193">
        <f>(B127*(1-'5.Closing Stock &amp; W Capital'!$D$16))*$C185*D$172</f>
        <v>0</v>
      </c>
      <c r="E185" s="193">
        <f>((C127*(1-'5.Closing Stock &amp; W Capital'!$D$16))+(B127*'5.Closing Stock &amp; W Capital'!$D$16))*$C185*E$172</f>
        <v>0</v>
      </c>
      <c r="F185" s="193">
        <f>((D127*(1-'5.Closing Stock &amp; W Capital'!$D$16))+(C127*'5.Closing Stock &amp; W Capital'!$D$16))*$C185*F$172</f>
        <v>0</v>
      </c>
      <c r="G185" s="193">
        <f>((E127*(1-'5.Closing Stock &amp; W Capital'!$D$16))+(D127*'5.Closing Stock &amp; W Capital'!$D$16))*$C185*G$172</f>
        <v>0</v>
      </c>
      <c r="H185" s="193">
        <f>((F127*(1-'5.Closing Stock &amp; W Capital'!$D$16))+(E127*'5.Closing Stock &amp; W Capital'!$D$16))*$C185*H$172</f>
        <v>0</v>
      </c>
      <c r="I185" s="193">
        <f>((G127*(1-'5.Closing Stock &amp; W Capital'!$D$16))+(F127*'5.Closing Stock &amp; W Capital'!$D$16))*$C185*I$172</f>
        <v>0</v>
      </c>
      <c r="J185" s="193">
        <f>((H127*(1-'5.Closing Stock &amp; W Capital'!$D$16))+(G127*'5.Closing Stock &amp; W Capital'!$D$16))*$C185*J$172</f>
        <v>0</v>
      </c>
      <c r="K185" s="87"/>
      <c r="L185" s="87"/>
    </row>
    <row r="186" spans="1:12">
      <c r="A186" s="88" t="str">
        <f t="shared" si="32"/>
        <v>Sunflower</v>
      </c>
      <c r="B186" s="88" t="s">
        <v>370</v>
      </c>
      <c r="C186" s="233"/>
      <c r="D186" s="193">
        <f>(B128*(1-'5.Closing Stock &amp; W Capital'!$D$16))*$C186*D$172</f>
        <v>0</v>
      </c>
      <c r="E186" s="193">
        <f>((C128*(1-'5.Closing Stock &amp; W Capital'!$D$16))+(B128*'5.Closing Stock &amp; W Capital'!$D$16))*$C186*E$172</f>
        <v>0</v>
      </c>
      <c r="F186" s="193">
        <f>((D128*(1-'5.Closing Stock &amp; W Capital'!$D$16))+(C128*'5.Closing Stock &amp; W Capital'!$D$16))*$C186*F$172</f>
        <v>0</v>
      </c>
      <c r="G186" s="193">
        <f>((E128*(1-'5.Closing Stock &amp; W Capital'!$D$16))+(D128*'5.Closing Stock &amp; W Capital'!$D$16))*$C186*G$172</f>
        <v>0</v>
      </c>
      <c r="H186" s="193">
        <f>((F128*(1-'5.Closing Stock &amp; W Capital'!$D$16))+(E128*'5.Closing Stock &amp; W Capital'!$D$16))*$C186*H$172</f>
        <v>0</v>
      </c>
      <c r="I186" s="193">
        <f>((G128*(1-'5.Closing Stock &amp; W Capital'!$D$16))+(F128*'5.Closing Stock &amp; W Capital'!$D$16))*$C186*I$172</f>
        <v>0</v>
      </c>
      <c r="J186" s="193">
        <f>((H128*(1-'5.Closing Stock &amp; W Capital'!$D$16))+(G128*'5.Closing Stock &amp; W Capital'!$D$16))*$C186*J$172</f>
        <v>0</v>
      </c>
      <c r="K186" s="87"/>
      <c r="L186" s="87"/>
    </row>
    <row r="187" spans="1:12">
      <c r="A187" s="88" t="str">
        <f t="shared" si="32"/>
        <v>Wheat</v>
      </c>
      <c r="B187" s="88" t="s">
        <v>370</v>
      </c>
      <c r="C187" s="233"/>
      <c r="D187" s="193">
        <f>(B129*(1-'5.Closing Stock &amp; W Capital'!$D$16))*$C187*D$172</f>
        <v>0</v>
      </c>
      <c r="E187" s="193">
        <f>((C129*(1-'5.Closing Stock &amp; W Capital'!$D$16))+(B129*'5.Closing Stock &amp; W Capital'!$D$16))*$C187*E$172</f>
        <v>0</v>
      </c>
      <c r="F187" s="193">
        <f>((D129*(1-'5.Closing Stock &amp; W Capital'!$D$16))+(C129*'5.Closing Stock &amp; W Capital'!$D$16))*$C187*F$172</f>
        <v>0</v>
      </c>
      <c r="G187" s="193">
        <f>((E129*(1-'5.Closing Stock &amp; W Capital'!$D$16))+(D129*'5.Closing Stock &amp; W Capital'!$D$16))*$C187*G$172</f>
        <v>0</v>
      </c>
      <c r="H187" s="193">
        <f>((F129*(1-'5.Closing Stock &amp; W Capital'!$D$16))+(E129*'5.Closing Stock &amp; W Capital'!$D$16))*$C187*H$172</f>
        <v>0</v>
      </c>
      <c r="I187" s="193">
        <f>((G129*(1-'5.Closing Stock &amp; W Capital'!$D$16))+(F129*'5.Closing Stock &amp; W Capital'!$D$16))*$C187*I$172</f>
        <v>0</v>
      </c>
      <c r="J187" s="193">
        <f>((H129*(1-'5.Closing Stock &amp; W Capital'!$D$16))+(G129*'5.Closing Stock &amp; W Capital'!$D$16))*$C187*J$172</f>
        <v>0</v>
      </c>
      <c r="K187" s="87"/>
      <c r="L187" s="87"/>
    </row>
    <row r="188" spans="1:12">
      <c r="A188" s="88" t="str">
        <f t="shared" si="32"/>
        <v>Bengal Gram/Channa</v>
      </c>
      <c r="B188" s="88" t="s">
        <v>370</v>
      </c>
      <c r="C188" s="233">
        <v>5000</v>
      </c>
      <c r="D188" s="193">
        <f>(B130*(1-'5.Closing Stock &amp; W Capital'!$D$16))*$C188*D$172</f>
        <v>0</v>
      </c>
      <c r="E188" s="193">
        <f>((C130*(1-'5.Closing Stock &amp; W Capital'!$D$16))+(B130*'5.Closing Stock &amp; W Capital'!$D$16))*$C188*E$172</f>
        <v>0</v>
      </c>
      <c r="F188" s="193">
        <f>((D130*(1-'5.Closing Stock &amp; W Capital'!$D$16))+(C130*'5.Closing Stock &amp; W Capital'!$D$16))*$C188*F$172</f>
        <v>0</v>
      </c>
      <c r="G188" s="193">
        <f>((E130*(1-'5.Closing Stock &amp; W Capital'!$D$16))+(D130*'5.Closing Stock &amp; W Capital'!$D$16))*$C188*G$172</f>
        <v>0</v>
      </c>
      <c r="H188" s="193">
        <f>((F130*(1-'5.Closing Stock &amp; W Capital'!$D$16))+(E130*'5.Closing Stock &amp; W Capital'!$D$16))*$C188*H$172</f>
        <v>0</v>
      </c>
      <c r="I188" s="193">
        <f>((G130*(1-'5.Closing Stock &amp; W Capital'!$D$16))+(F130*'5.Closing Stock &amp; W Capital'!$D$16))*$C188*I$172</f>
        <v>0</v>
      </c>
      <c r="J188" s="193">
        <f>((H130*(1-'5.Closing Stock &amp; W Capital'!$D$16))+(G130*'5.Closing Stock &amp; W Capital'!$D$16))*$C188*J$172</f>
        <v>0</v>
      </c>
      <c r="K188" s="87"/>
      <c r="L188" s="87"/>
    </row>
    <row r="189" spans="1:12">
      <c r="A189" s="88" t="str">
        <f t="shared" si="32"/>
        <v>Jawar</v>
      </c>
      <c r="B189" s="88" t="s">
        <v>370</v>
      </c>
      <c r="C189" s="233"/>
      <c r="D189" s="193">
        <f>(B131*(1-'5.Closing Stock &amp; W Capital'!$D$16))*$C189*D$172</f>
        <v>0</v>
      </c>
      <c r="E189" s="193">
        <f>((C131*(1-'5.Closing Stock &amp; W Capital'!$D$16))+(B131*'5.Closing Stock &amp; W Capital'!$D$16))*$C189*E$172</f>
        <v>0</v>
      </c>
      <c r="F189" s="193">
        <f>((D131*(1-'5.Closing Stock &amp; W Capital'!$D$16))+(C131*'5.Closing Stock &amp; W Capital'!$D$16))*$C189*F$172</f>
        <v>0</v>
      </c>
      <c r="G189" s="193">
        <f>((E131*(1-'5.Closing Stock &amp; W Capital'!$D$16))+(D131*'5.Closing Stock &amp; W Capital'!$D$16))*$C189*G$172</f>
        <v>0</v>
      </c>
      <c r="H189" s="193">
        <f>((F131*(1-'5.Closing Stock &amp; W Capital'!$D$16))+(E131*'5.Closing Stock &amp; W Capital'!$D$16))*$C189*H$172</f>
        <v>0</v>
      </c>
      <c r="I189" s="193">
        <f>((G131*(1-'5.Closing Stock &amp; W Capital'!$D$16))+(F131*'5.Closing Stock &amp; W Capital'!$D$16))*$C189*I$172</f>
        <v>0</v>
      </c>
      <c r="J189" s="193">
        <f>((H131*(1-'5.Closing Stock &amp; W Capital'!$D$16))+(G131*'5.Closing Stock &amp; W Capital'!$D$16))*$C189*J$172</f>
        <v>0</v>
      </c>
      <c r="K189" s="87"/>
      <c r="L189" s="87"/>
    </row>
    <row r="190" spans="1:12">
      <c r="A190" s="88" t="str">
        <f t="shared" si="32"/>
        <v>Maize</v>
      </c>
      <c r="B190" s="88" t="s">
        <v>370</v>
      </c>
      <c r="C190" s="233"/>
      <c r="D190" s="193">
        <f>(B132*(1-'5.Closing Stock &amp; W Capital'!$D$16))*$C190*D$172</f>
        <v>0</v>
      </c>
      <c r="E190" s="193">
        <f>((C132*(1-'5.Closing Stock &amp; W Capital'!$D$16))+(B132*'5.Closing Stock &amp; W Capital'!$D$16))*$C190*E$172</f>
        <v>0</v>
      </c>
      <c r="F190" s="193">
        <f>((D132*(1-'5.Closing Stock &amp; W Capital'!$D$16))+(C132*'5.Closing Stock &amp; W Capital'!$D$16))*$C190*F$172</f>
        <v>0</v>
      </c>
      <c r="G190" s="193">
        <f>((E132*(1-'5.Closing Stock &amp; W Capital'!$D$16))+(D132*'5.Closing Stock &amp; W Capital'!$D$16))*$C190*G$172</f>
        <v>0</v>
      </c>
      <c r="H190" s="193">
        <f>((F132*(1-'5.Closing Stock &amp; W Capital'!$D$16))+(E132*'5.Closing Stock &amp; W Capital'!$D$16))*$C190*H$172</f>
        <v>0</v>
      </c>
      <c r="I190" s="193">
        <f>((G132*(1-'5.Closing Stock &amp; W Capital'!$D$16))+(F132*'5.Closing Stock &amp; W Capital'!$D$16))*$C190*I$172</f>
        <v>0</v>
      </c>
      <c r="J190" s="193">
        <f>((H132*(1-'5.Closing Stock &amp; W Capital'!$D$16))+(G132*'5.Closing Stock &amp; W Capital'!$D$16))*$C190*J$172</f>
        <v>0</v>
      </c>
      <c r="K190" s="87"/>
      <c r="L190" s="87"/>
    </row>
    <row r="191" spans="1:12">
      <c r="A191" s="88" t="str">
        <f t="shared" si="32"/>
        <v>Safflower</v>
      </c>
      <c r="B191" s="88" t="s">
        <v>370</v>
      </c>
      <c r="C191" s="233"/>
      <c r="D191" s="193">
        <f>(B133*(1-'5.Closing Stock &amp; W Capital'!$D$16))*$C191*D$172</f>
        <v>0</v>
      </c>
      <c r="E191" s="193">
        <f>((C133*(1-'5.Closing Stock &amp; W Capital'!$D$16))+(B133*'5.Closing Stock &amp; W Capital'!$D$16))*$C191*E$172</f>
        <v>0</v>
      </c>
      <c r="F191" s="193">
        <f>((D133*(1-'5.Closing Stock &amp; W Capital'!$D$16))+(C133*'5.Closing Stock &amp; W Capital'!$D$16))*$C191*F$172</f>
        <v>0</v>
      </c>
      <c r="G191" s="193">
        <f>((E133*(1-'5.Closing Stock &amp; W Capital'!$D$16))+(D133*'5.Closing Stock &amp; W Capital'!$D$16))*$C191*G$172</f>
        <v>0</v>
      </c>
      <c r="H191" s="193">
        <f>((F133*(1-'5.Closing Stock &amp; W Capital'!$D$16))+(E133*'5.Closing Stock &amp; W Capital'!$D$16))*$C191*H$172</f>
        <v>0</v>
      </c>
      <c r="I191" s="193">
        <f>((G133*(1-'5.Closing Stock &amp; W Capital'!$D$16))+(F133*'5.Closing Stock &amp; W Capital'!$D$16))*$C191*I$172</f>
        <v>0</v>
      </c>
      <c r="J191" s="193">
        <f>((H133*(1-'5.Closing Stock &amp; W Capital'!$D$16))+(G133*'5.Closing Stock &amp; W Capital'!$D$16))*$C191*J$172</f>
        <v>0</v>
      </c>
      <c r="K191" s="87"/>
      <c r="L191" s="87"/>
    </row>
    <row r="192" spans="1:12">
      <c r="A192" s="88">
        <f t="shared" si="32"/>
        <v>0</v>
      </c>
      <c r="B192" s="88" t="s">
        <v>370</v>
      </c>
      <c r="C192" s="233"/>
      <c r="D192" s="193">
        <f>(B134*(1-'5.Closing Stock &amp; W Capital'!$D$16))*$C192*D$172</f>
        <v>0</v>
      </c>
      <c r="E192" s="193">
        <f>((C134*(1-'5.Closing Stock &amp; W Capital'!$D$16))+(B134*'5.Closing Stock &amp; W Capital'!$D$16))*$C192*E$172</f>
        <v>0</v>
      </c>
      <c r="F192" s="193">
        <f>((D134*(1-'5.Closing Stock &amp; W Capital'!$D$16))+(C134*'5.Closing Stock &amp; W Capital'!$D$16))*$C192*F$172</f>
        <v>0</v>
      </c>
      <c r="G192" s="193">
        <f>((E134*(1-'5.Closing Stock &amp; W Capital'!$D$16))+(D134*'5.Closing Stock &amp; W Capital'!$D$16))*$C192*G$172</f>
        <v>0</v>
      </c>
      <c r="H192" s="193">
        <f>((F134*(1-'5.Closing Stock &amp; W Capital'!$D$16))+(E134*'5.Closing Stock &amp; W Capital'!$D$16))*$C192*H$172</f>
        <v>0</v>
      </c>
      <c r="I192" s="193">
        <f>((G134*(1-'5.Closing Stock &amp; W Capital'!$D$16))+(F134*'5.Closing Stock &amp; W Capital'!$D$16))*$C192*I$172</f>
        <v>0</v>
      </c>
      <c r="J192" s="193">
        <f>((H134*(1-'5.Closing Stock &amp; W Capital'!$D$16))+(G134*'5.Closing Stock &amp; W Capital'!$D$16))*$C192*J$172</f>
        <v>0</v>
      </c>
      <c r="K192" s="87"/>
      <c r="L192" s="87"/>
    </row>
    <row r="193" spans="1:12">
      <c r="A193" s="88">
        <f t="shared" si="32"/>
        <v>0</v>
      </c>
      <c r="B193" s="88" t="s">
        <v>370</v>
      </c>
      <c r="C193" s="233"/>
      <c r="D193" s="193">
        <f>(B135*(1-'5.Closing Stock &amp; W Capital'!$D$16))*$C193*D$172</f>
        <v>0</v>
      </c>
      <c r="E193" s="193">
        <f>((C135*(1-'5.Closing Stock &amp; W Capital'!$D$16))+(B135*'5.Closing Stock &amp; W Capital'!$D$16))*$C193*E$172</f>
        <v>0</v>
      </c>
      <c r="F193" s="193">
        <f>((D135*(1-'5.Closing Stock &amp; W Capital'!$D$16))+(C135*'5.Closing Stock &amp; W Capital'!$D$16))*$C193*F$172</f>
        <v>0</v>
      </c>
      <c r="G193" s="193">
        <f>((E135*(1-'5.Closing Stock &amp; W Capital'!$D$16))+(D135*'5.Closing Stock &amp; W Capital'!$D$16))*$C193*G$172</f>
        <v>0</v>
      </c>
      <c r="H193" s="193">
        <f>((F135*(1-'5.Closing Stock &amp; W Capital'!$D$16))+(E135*'5.Closing Stock &amp; W Capital'!$D$16))*$C193*H$172</f>
        <v>0</v>
      </c>
      <c r="I193" s="193">
        <f>((G135*(1-'5.Closing Stock &amp; W Capital'!$D$16))+(F135*'5.Closing Stock &amp; W Capital'!$D$16))*$C193*I$172</f>
        <v>0</v>
      </c>
      <c r="J193" s="193">
        <f>((H135*(1-'5.Closing Stock &amp; W Capital'!$D$16))+(G135*'5.Closing Stock &amp; W Capital'!$D$16))*$C193*J$172</f>
        <v>0</v>
      </c>
      <c r="K193" s="87"/>
      <c r="L193" s="87"/>
    </row>
    <row r="194" spans="1:12">
      <c r="A194" s="88">
        <f t="shared" si="32"/>
        <v>0</v>
      </c>
      <c r="B194" s="88" t="s">
        <v>370</v>
      </c>
      <c r="C194" s="233"/>
      <c r="D194" s="193">
        <f>(B136*(1-'5.Closing Stock &amp; W Capital'!$D$16))*$C194*D$172</f>
        <v>0</v>
      </c>
      <c r="E194" s="193">
        <f>((C136*(1-'5.Closing Stock &amp; W Capital'!$D$16))+(B136*'5.Closing Stock &amp; W Capital'!$D$16))*$C194*E$172</f>
        <v>0</v>
      </c>
      <c r="F194" s="193">
        <f>((D136*(1-'5.Closing Stock &amp; W Capital'!$D$16))+(C136*'5.Closing Stock &amp; W Capital'!$D$16))*$C194*F$172</f>
        <v>0</v>
      </c>
      <c r="G194" s="193">
        <f>((E136*(1-'5.Closing Stock &amp; W Capital'!$D$16))+(D136*'5.Closing Stock &amp; W Capital'!$D$16))*$C194*G$172</f>
        <v>0</v>
      </c>
      <c r="H194" s="193">
        <f>((F136*(1-'5.Closing Stock &amp; W Capital'!$D$16))+(E136*'5.Closing Stock &amp; W Capital'!$D$16))*$C194*H$172</f>
        <v>0</v>
      </c>
      <c r="I194" s="193">
        <f>((G136*(1-'5.Closing Stock &amp; W Capital'!$D$16))+(F136*'5.Closing Stock &amp; W Capital'!$D$16))*$C194*I$172</f>
        <v>0</v>
      </c>
      <c r="J194" s="193">
        <f>((H136*(1-'5.Closing Stock &amp; W Capital'!$D$16))+(G136*'5.Closing Stock &amp; W Capital'!$D$16))*$C194*J$172</f>
        <v>0</v>
      </c>
      <c r="K194" s="87"/>
      <c r="L194" s="87"/>
    </row>
    <row r="195" spans="1:12">
      <c r="A195" s="88" t="str">
        <f t="shared" si="32"/>
        <v>Groundnut</v>
      </c>
      <c r="B195" s="88" t="s">
        <v>370</v>
      </c>
      <c r="C195" s="233"/>
      <c r="D195" s="193">
        <f>(B137*(1-'5.Closing Stock &amp; W Capital'!$D$16))*$C195*D$172</f>
        <v>0</v>
      </c>
      <c r="E195" s="193">
        <f>((C137*(1-'5.Closing Stock &amp; W Capital'!$D$16))+(B137*'5.Closing Stock &amp; W Capital'!$D$16))*$C195*E$172</f>
        <v>0</v>
      </c>
      <c r="F195" s="193">
        <f>((D137*(1-'5.Closing Stock &amp; W Capital'!$D$16))+(C137*'5.Closing Stock &amp; W Capital'!$D$16))*$C195*F$172</f>
        <v>0</v>
      </c>
      <c r="G195" s="193">
        <f>((E137*(1-'5.Closing Stock &amp; W Capital'!$D$16))+(D137*'5.Closing Stock &amp; W Capital'!$D$16))*$C195*G$172</f>
        <v>0</v>
      </c>
      <c r="H195" s="193">
        <f>((F137*(1-'5.Closing Stock &amp; W Capital'!$D$16))+(E137*'5.Closing Stock &amp; W Capital'!$D$16))*$C195*H$172</f>
        <v>0</v>
      </c>
      <c r="I195" s="193">
        <f>((G137*(1-'5.Closing Stock &amp; W Capital'!$D$16))+(F137*'5.Closing Stock &amp; W Capital'!$D$16))*$C195*I$172</f>
        <v>0</v>
      </c>
      <c r="J195" s="193">
        <f>((H137*(1-'5.Closing Stock &amp; W Capital'!$D$16))+(G137*'5.Closing Stock &amp; W Capital'!$D$16))*$C195*J$172</f>
        <v>0</v>
      </c>
      <c r="K195" s="87"/>
      <c r="L195" s="87"/>
    </row>
    <row r="196" spans="1:12">
      <c r="A196" s="88" t="str">
        <f t="shared" si="32"/>
        <v>Bengal Gram/Channa</v>
      </c>
      <c r="B196" s="88" t="s">
        <v>370</v>
      </c>
      <c r="C196" s="233"/>
      <c r="D196" s="193">
        <f>(B138*(1-'5.Closing Stock &amp; W Capital'!$D$16))*$C196*D$172</f>
        <v>0</v>
      </c>
      <c r="E196" s="193">
        <f>((C138*(1-'5.Closing Stock &amp; W Capital'!$D$16))+(B138*'5.Closing Stock &amp; W Capital'!$D$16))*$C196*E$172</f>
        <v>0</v>
      </c>
      <c r="F196" s="193">
        <f>((D138*(1-'5.Closing Stock &amp; W Capital'!$D$16))+(C138*'5.Closing Stock &amp; W Capital'!$D$16))*$C196*F$172</f>
        <v>0</v>
      </c>
      <c r="G196" s="193">
        <f>((E138*(1-'5.Closing Stock &amp; W Capital'!$D$16))+(D138*'5.Closing Stock &amp; W Capital'!$D$16))*$C196*G$172</f>
        <v>0</v>
      </c>
      <c r="H196" s="193">
        <f>((F138*(1-'5.Closing Stock &amp; W Capital'!$D$16))+(E138*'5.Closing Stock &amp; W Capital'!$D$16))*$C196*H$172</f>
        <v>0</v>
      </c>
      <c r="I196" s="193">
        <f>((G138*(1-'5.Closing Stock &amp; W Capital'!$D$16))+(F138*'5.Closing Stock &amp; W Capital'!$D$16))*$C196*I$172</f>
        <v>0</v>
      </c>
      <c r="J196" s="193">
        <f>((H138*(1-'5.Closing Stock &amp; W Capital'!$D$16))+(G138*'5.Closing Stock &amp; W Capital'!$D$16))*$C196*J$172</f>
        <v>0</v>
      </c>
      <c r="K196" s="87"/>
      <c r="L196" s="87"/>
    </row>
    <row r="197" spans="1:12">
      <c r="A197" s="88">
        <f t="shared" si="32"/>
        <v>0</v>
      </c>
      <c r="B197" s="88" t="s">
        <v>370</v>
      </c>
      <c r="C197" s="233"/>
      <c r="D197" s="193">
        <f>(B139*(1-'5.Closing Stock &amp; W Capital'!$D$16))*$C197*D$172</f>
        <v>0</v>
      </c>
      <c r="E197" s="193">
        <f>((C139*(1-'5.Closing Stock &amp; W Capital'!$D$16))+(B139*'5.Closing Stock &amp; W Capital'!$D$16))*$C197*E$172</f>
        <v>0</v>
      </c>
      <c r="F197" s="193">
        <f>((D139*(1-'5.Closing Stock &amp; W Capital'!$D$16))+(C139*'5.Closing Stock &amp; W Capital'!$D$16))*$C197*F$172</f>
        <v>0</v>
      </c>
      <c r="G197" s="193">
        <f>((E139*(1-'5.Closing Stock &amp; W Capital'!$D$16))+(D139*'5.Closing Stock &amp; W Capital'!$D$16))*$C197*G$172</f>
        <v>0</v>
      </c>
      <c r="H197" s="193">
        <f>((F139*(1-'5.Closing Stock &amp; W Capital'!$D$16))+(E139*'5.Closing Stock &amp; W Capital'!$D$16))*$C197*H$172</f>
        <v>0</v>
      </c>
      <c r="I197" s="193">
        <f>((G139*(1-'5.Closing Stock &amp; W Capital'!$D$16))+(F139*'5.Closing Stock &amp; W Capital'!$D$16))*$C197*I$172</f>
        <v>0</v>
      </c>
      <c r="J197" s="193">
        <f>((H139*(1-'5.Closing Stock &amp; W Capital'!$D$16))+(G139*'5.Closing Stock &amp; W Capital'!$D$16))*$C197*J$172</f>
        <v>0</v>
      </c>
      <c r="K197" s="87"/>
      <c r="L197" s="87"/>
    </row>
    <row r="198" spans="1:12">
      <c r="A198" s="88">
        <f t="shared" si="32"/>
        <v>0</v>
      </c>
      <c r="B198" s="88" t="s">
        <v>370</v>
      </c>
      <c r="C198" s="233"/>
      <c r="D198" s="193">
        <f>(B140*(1-'5.Closing Stock &amp; W Capital'!$D$16))*$C198*D$172</f>
        <v>0</v>
      </c>
      <c r="E198" s="193">
        <f>((C140*(1-'5.Closing Stock &amp; W Capital'!$D$16))+(B140*'5.Closing Stock &amp; W Capital'!$D$16))*$C198*E$172</f>
        <v>0</v>
      </c>
      <c r="F198" s="193">
        <f>((D140*(1-'5.Closing Stock &amp; W Capital'!$D$16))+(C140*'5.Closing Stock &amp; W Capital'!$D$16))*$C198*F$172</f>
        <v>0</v>
      </c>
      <c r="G198" s="193">
        <f>((E140*(1-'5.Closing Stock &amp; W Capital'!$D$16))+(D140*'5.Closing Stock &amp; W Capital'!$D$16))*$C198*G$172</f>
        <v>0</v>
      </c>
      <c r="H198" s="193">
        <f>((F140*(1-'5.Closing Stock &amp; W Capital'!$D$16))+(E140*'5.Closing Stock &amp; W Capital'!$D$16))*$C198*H$172</f>
        <v>0</v>
      </c>
      <c r="I198" s="193">
        <f>((G140*(1-'5.Closing Stock &amp; W Capital'!$D$16))+(F140*'5.Closing Stock &amp; W Capital'!$D$16))*$C198*I$172</f>
        <v>0</v>
      </c>
      <c r="J198" s="193">
        <f>((H140*(1-'5.Closing Stock &amp; W Capital'!$D$16))+(G140*'5.Closing Stock &amp; W Capital'!$D$16))*$C198*J$172</f>
        <v>0</v>
      </c>
      <c r="K198" s="87"/>
      <c r="L198" s="87"/>
    </row>
    <row r="199" spans="1:12">
      <c r="A199" s="88"/>
      <c r="B199" s="88" t="s">
        <v>370</v>
      </c>
      <c r="C199" s="233"/>
      <c r="D199" s="193">
        <f>(B141*(1-'5.Closing Stock &amp; W Capital'!$D$16))*$C199*D$172</f>
        <v>0</v>
      </c>
      <c r="E199" s="193">
        <f>((C141*(1-'5.Closing Stock &amp; W Capital'!$D$16))+(B141*'5.Closing Stock &amp; W Capital'!$D$16))*$C199*E$172</f>
        <v>0</v>
      </c>
      <c r="F199" s="193">
        <f>((D141*(1-'5.Closing Stock &amp; W Capital'!$D$16))+(C141*'5.Closing Stock &amp; W Capital'!$D$16))*$C199*F$172</f>
        <v>0</v>
      </c>
      <c r="G199" s="193">
        <f>((E141*(1-'5.Closing Stock &amp; W Capital'!$D$16))+(D141*'5.Closing Stock &amp; W Capital'!$D$16))*$C199*G$172</f>
        <v>0</v>
      </c>
      <c r="H199" s="193">
        <f>((F141*(1-'5.Closing Stock &amp; W Capital'!$D$16))+(E141*'5.Closing Stock &amp; W Capital'!$D$16))*$C199*H$172</f>
        <v>0</v>
      </c>
      <c r="I199" s="193">
        <f>((G141*(1-'5.Closing Stock &amp; W Capital'!$D$16))+(F141*'5.Closing Stock &amp; W Capital'!$D$16))*$C199*I$172</f>
        <v>0</v>
      </c>
      <c r="J199" s="193">
        <f>((H141*(1-'5.Closing Stock &amp; W Capital'!$D$16))+(G141*'5.Closing Stock &amp; W Capital'!$D$16))*$C199*J$172</f>
        <v>0</v>
      </c>
      <c r="K199" s="87"/>
      <c r="L199" s="87"/>
    </row>
    <row r="200" spans="1:12">
      <c r="A200" s="90" t="s">
        <v>298</v>
      </c>
      <c r="B200" s="88" t="s">
        <v>370</v>
      </c>
      <c r="C200" s="219">
        <v>50</v>
      </c>
      <c r="D200" s="193">
        <f t="shared" ref="D200:J200" si="33">B65*$C$200*D172</f>
        <v>0</v>
      </c>
      <c r="E200" s="193">
        <f t="shared" si="33"/>
        <v>0</v>
      </c>
      <c r="F200" s="193">
        <f t="shared" si="33"/>
        <v>0</v>
      </c>
      <c r="G200" s="193">
        <f t="shared" si="33"/>
        <v>0</v>
      </c>
      <c r="H200" s="193">
        <f t="shared" si="33"/>
        <v>0</v>
      </c>
      <c r="I200" s="193">
        <f t="shared" si="33"/>
        <v>0</v>
      </c>
      <c r="J200" s="193">
        <f t="shared" si="33"/>
        <v>0</v>
      </c>
      <c r="K200" s="87"/>
      <c r="L200" s="87"/>
    </row>
    <row r="201" spans="1:12">
      <c r="A201" s="90"/>
      <c r="B201" s="90"/>
      <c r="C201" s="90"/>
      <c r="D201" s="88"/>
      <c r="E201" s="88"/>
      <c r="F201" s="88"/>
      <c r="G201" s="88"/>
      <c r="H201" s="88"/>
      <c r="I201" s="88"/>
      <c r="J201" s="88"/>
      <c r="K201" s="87"/>
      <c r="L201" s="87"/>
    </row>
    <row r="202" spans="1:12">
      <c r="A202" s="90" t="str">
        <f t="shared" ref="A202:A220" si="34">A143</f>
        <v>Fruit  &amp; Vegetables Crop Production Details</v>
      </c>
      <c r="B202" s="90"/>
      <c r="C202" s="90"/>
      <c r="D202" s="88"/>
      <c r="E202" s="88"/>
      <c r="F202" s="88"/>
      <c r="G202" s="88"/>
      <c r="H202" s="88"/>
      <c r="I202" s="88"/>
      <c r="J202" s="88"/>
      <c r="K202" s="87"/>
      <c r="L202" s="87"/>
    </row>
    <row r="203" spans="1:12">
      <c r="A203" s="90" t="str">
        <f t="shared" si="34"/>
        <v>Onion</v>
      </c>
      <c r="B203" s="88" t="s">
        <v>370</v>
      </c>
      <c r="C203" s="314">
        <v>2000</v>
      </c>
      <c r="D203" s="193">
        <f>(B144*(1-'5.Closing Stock &amp; W Capital'!$D$16))*$C203*D$172</f>
        <v>0</v>
      </c>
      <c r="E203" s="193">
        <f>((C144*(1-'5.Closing Stock &amp; W Capital'!$D$16))+(B144*'5.Closing Stock &amp; W Capital'!$D$16))*$C203*E$172</f>
        <v>0</v>
      </c>
      <c r="F203" s="193">
        <f>((D144*(1-'5.Closing Stock &amp; W Capital'!$D$16))+(C144*'5.Closing Stock &amp; W Capital'!$D$16))*$C203*F$172</f>
        <v>0</v>
      </c>
      <c r="G203" s="193">
        <f>((E144*(1-'5.Closing Stock &amp; W Capital'!$D$16))+(D144*'5.Closing Stock &amp; W Capital'!$D$16))*$C203*G$172</f>
        <v>0</v>
      </c>
      <c r="H203" s="193">
        <f>((F144*(1-'5.Closing Stock &amp; W Capital'!$D$16))+(E144*'5.Closing Stock &amp; W Capital'!$D$16))*$C203*H$172</f>
        <v>0</v>
      </c>
      <c r="I203" s="193">
        <f>((G144*(1-'5.Closing Stock &amp; W Capital'!$D$16))+(F144*'5.Closing Stock &amp; W Capital'!$D$16))*$C203*I$172</f>
        <v>0</v>
      </c>
      <c r="J203" s="193">
        <f>((H144*(1-'5.Closing Stock &amp; W Capital'!$D$16))+(G144*'5.Closing Stock &amp; W Capital'!$D$16))*$C203*J$172</f>
        <v>0</v>
      </c>
      <c r="K203" s="87"/>
      <c r="L203" s="87"/>
    </row>
    <row r="204" spans="1:12">
      <c r="A204" s="90" t="str">
        <f t="shared" si="34"/>
        <v>Tomato</v>
      </c>
      <c r="B204" s="88" t="s">
        <v>370</v>
      </c>
      <c r="C204" s="233">
        <v>1000</v>
      </c>
      <c r="D204" s="193">
        <f>(B145*(1-'5.Closing Stock &amp; W Capital'!$D$16))*$C204*D$172</f>
        <v>0</v>
      </c>
      <c r="E204" s="193">
        <f>((C145*(1-'5.Closing Stock &amp; W Capital'!$D$16))+(B145*'5.Closing Stock &amp; W Capital'!$D$16))*$C204*E$172</f>
        <v>0</v>
      </c>
      <c r="F204" s="193">
        <f>((D145*(1-'5.Closing Stock &amp; W Capital'!$D$16))+(C145*'5.Closing Stock &amp; W Capital'!$D$16))*$C204*F$172</f>
        <v>0</v>
      </c>
      <c r="G204" s="193">
        <f>((E145*(1-'5.Closing Stock &amp; W Capital'!$D$16))+(D145*'5.Closing Stock &amp; W Capital'!$D$16))*$C204*G$172</f>
        <v>0</v>
      </c>
      <c r="H204" s="193">
        <f>((F145*(1-'5.Closing Stock &amp; W Capital'!$D$16))+(E145*'5.Closing Stock &amp; W Capital'!$D$16))*$C204*H$172</f>
        <v>0</v>
      </c>
      <c r="I204" s="193">
        <f>((G145*(1-'5.Closing Stock &amp; W Capital'!$D$16))+(F145*'5.Closing Stock &amp; W Capital'!$D$16))*$C204*I$172</f>
        <v>0</v>
      </c>
      <c r="J204" s="193">
        <f>((H145*(1-'5.Closing Stock &amp; W Capital'!$D$16))+(G145*'5.Closing Stock &amp; W Capital'!$D$16))*$C204*J$172</f>
        <v>0</v>
      </c>
      <c r="K204" s="87"/>
      <c r="L204" s="87"/>
    </row>
    <row r="205" spans="1:12">
      <c r="A205" s="90" t="str">
        <f t="shared" si="34"/>
        <v>Okra</v>
      </c>
      <c r="B205" s="88" t="s">
        <v>370</v>
      </c>
      <c r="C205" s="233">
        <v>1500</v>
      </c>
      <c r="D205" s="193">
        <f>(B146*(1-'5.Closing Stock &amp; W Capital'!$D$16))*$C205*D$172</f>
        <v>0</v>
      </c>
      <c r="E205" s="193">
        <f>((C146*(1-'5.Closing Stock &amp; W Capital'!$D$16))+(B146*'5.Closing Stock &amp; W Capital'!$D$16))*$C205*E$172</f>
        <v>0</v>
      </c>
      <c r="F205" s="193">
        <f>((D146*(1-'5.Closing Stock &amp; W Capital'!$D$16))+(C146*'5.Closing Stock &amp; W Capital'!$D$16))*$C205*F$172</f>
        <v>0</v>
      </c>
      <c r="G205" s="193">
        <f>((E146*(1-'5.Closing Stock &amp; W Capital'!$D$16))+(D146*'5.Closing Stock &amp; W Capital'!$D$16))*$C205*G$172</f>
        <v>0</v>
      </c>
      <c r="H205" s="193">
        <f>((F146*(1-'5.Closing Stock &amp; W Capital'!$D$16))+(E146*'5.Closing Stock &amp; W Capital'!$D$16))*$C205*H$172</f>
        <v>0</v>
      </c>
      <c r="I205" s="193">
        <f>((G146*(1-'5.Closing Stock &amp; W Capital'!$D$16))+(F146*'5.Closing Stock &amp; W Capital'!$D$16))*$C205*I$172</f>
        <v>0</v>
      </c>
      <c r="J205" s="193">
        <f>((H146*(1-'5.Closing Stock &amp; W Capital'!$D$16))+(G146*'5.Closing Stock &amp; W Capital'!$D$16))*$C205*J$172</f>
        <v>0</v>
      </c>
      <c r="K205" s="87"/>
      <c r="L205" s="87"/>
    </row>
    <row r="206" spans="1:12">
      <c r="A206" s="90" t="str">
        <f t="shared" si="34"/>
        <v>Chilli</v>
      </c>
      <c r="B206" s="88" t="s">
        <v>370</v>
      </c>
      <c r="C206" s="233">
        <v>3000</v>
      </c>
      <c r="D206" s="193">
        <f>(B147*(1-'5.Closing Stock &amp; W Capital'!$D$16))*$C206*D$172</f>
        <v>0</v>
      </c>
      <c r="E206" s="193">
        <f>((C147*(1-'5.Closing Stock &amp; W Capital'!$D$16))+(B147*'5.Closing Stock &amp; W Capital'!$D$16))*$C206*E$172</f>
        <v>0</v>
      </c>
      <c r="F206" s="193">
        <f>((D147*(1-'5.Closing Stock &amp; W Capital'!$D$16))+(C147*'5.Closing Stock &amp; W Capital'!$D$16))*$C206*F$172</f>
        <v>0</v>
      </c>
      <c r="G206" s="193">
        <f>((E147*(1-'5.Closing Stock &amp; W Capital'!$D$16))+(D147*'5.Closing Stock &amp; W Capital'!$D$16))*$C206*G$172</f>
        <v>0</v>
      </c>
      <c r="H206" s="193">
        <f>((F147*(1-'5.Closing Stock &amp; W Capital'!$D$16))+(E147*'5.Closing Stock &amp; W Capital'!$D$16))*$C206*H$172</f>
        <v>0</v>
      </c>
      <c r="I206" s="193">
        <f>((G147*(1-'5.Closing Stock &amp; W Capital'!$D$16))+(F147*'5.Closing Stock &amp; W Capital'!$D$16))*$C206*I$172</f>
        <v>0</v>
      </c>
      <c r="J206" s="193">
        <f>((H147*(1-'5.Closing Stock &amp; W Capital'!$D$16))+(G147*'5.Closing Stock &amp; W Capital'!$D$16))*$C206*J$172</f>
        <v>0</v>
      </c>
      <c r="K206" s="87"/>
      <c r="L206" s="87"/>
    </row>
    <row r="207" spans="1:12">
      <c r="A207" s="90" t="str">
        <f t="shared" si="34"/>
        <v>Potato</v>
      </c>
      <c r="B207" s="88" t="s">
        <v>370</v>
      </c>
      <c r="C207" s="233">
        <v>1500</v>
      </c>
      <c r="D207" s="193">
        <f>(B148*(1-'5.Closing Stock &amp; W Capital'!$D$16))*$C207*D$172</f>
        <v>0</v>
      </c>
      <c r="E207" s="193">
        <f>((C148*(1-'5.Closing Stock &amp; W Capital'!$D$16))+(B148*'5.Closing Stock &amp; W Capital'!$D$16))*$C207*E$172</f>
        <v>0</v>
      </c>
      <c r="F207" s="193">
        <f>((D148*(1-'5.Closing Stock &amp; W Capital'!$D$16))+(C148*'5.Closing Stock &amp; W Capital'!$D$16))*$C207*F$172</f>
        <v>0</v>
      </c>
      <c r="G207" s="193">
        <f>((E148*(1-'5.Closing Stock &amp; W Capital'!$D$16))+(D148*'5.Closing Stock &amp; W Capital'!$D$16))*$C207*G$172</f>
        <v>0</v>
      </c>
      <c r="H207" s="193">
        <f>((F148*(1-'5.Closing Stock &amp; W Capital'!$D$16))+(E148*'5.Closing Stock &amp; W Capital'!$D$16))*$C207*H$172</f>
        <v>0</v>
      </c>
      <c r="I207" s="193">
        <f>((G148*(1-'5.Closing Stock &amp; W Capital'!$D$16))+(F148*'5.Closing Stock &amp; W Capital'!$D$16))*$C207*I$172</f>
        <v>0</v>
      </c>
      <c r="J207" s="193">
        <f>((H148*(1-'5.Closing Stock &amp; W Capital'!$D$16))+(G148*'5.Closing Stock &amp; W Capital'!$D$16))*$C207*J$172</f>
        <v>0</v>
      </c>
      <c r="K207" s="87"/>
      <c r="L207" s="87"/>
    </row>
    <row r="208" spans="1:12">
      <c r="A208" s="90">
        <f t="shared" si="34"/>
        <v>0</v>
      </c>
      <c r="B208" s="88" t="s">
        <v>370</v>
      </c>
      <c r="C208" s="219"/>
      <c r="D208" s="193">
        <f>(B149*(1-'5.Closing Stock &amp; W Capital'!$D$16))*$C208*D$172</f>
        <v>0</v>
      </c>
      <c r="E208" s="193">
        <f>((C149*(1-'5.Closing Stock &amp; W Capital'!$D$16))+(B149*'5.Closing Stock &amp; W Capital'!$D$16))*$C208*E$172</f>
        <v>0</v>
      </c>
      <c r="F208" s="193">
        <f>((D149*(1-'5.Closing Stock &amp; W Capital'!$D$16))+(C149*'5.Closing Stock &amp; W Capital'!$D$16))*$C208*F$172</f>
        <v>0</v>
      </c>
      <c r="G208" s="193">
        <f>((E149*(1-'5.Closing Stock &amp; W Capital'!$D$16))+(D149*'5.Closing Stock &amp; W Capital'!$D$16))*$C208*G$172</f>
        <v>0</v>
      </c>
      <c r="H208" s="193">
        <f>((F149*(1-'5.Closing Stock &amp; W Capital'!$D$16))+(E149*'5.Closing Stock &amp; W Capital'!$D$16))*$C208*H$172</f>
        <v>0</v>
      </c>
      <c r="I208" s="193">
        <f>((G149*(1-'5.Closing Stock &amp; W Capital'!$D$16))+(F149*'5.Closing Stock &amp; W Capital'!$D$16))*$C208*I$172</f>
        <v>0</v>
      </c>
      <c r="J208" s="193">
        <f>((H149*(1-'5.Closing Stock &amp; W Capital'!$D$16))+(G149*'5.Closing Stock &amp; W Capital'!$D$16))*$C208*J$172</f>
        <v>0</v>
      </c>
      <c r="K208" s="87"/>
      <c r="L208" s="87"/>
    </row>
    <row r="209" spans="1:12">
      <c r="A209" s="90">
        <f t="shared" si="34"/>
        <v>0</v>
      </c>
      <c r="B209" s="88" t="s">
        <v>370</v>
      </c>
      <c r="C209" s="219"/>
      <c r="D209" s="193">
        <f>(B150*(1-'5.Closing Stock &amp; W Capital'!$D$16))*$C209*D$172</f>
        <v>0</v>
      </c>
      <c r="E209" s="193">
        <f>((C150*(1-'5.Closing Stock &amp; W Capital'!$D$16))+(B150*'5.Closing Stock &amp; W Capital'!$D$16))*$C209*E$172</f>
        <v>0</v>
      </c>
      <c r="F209" s="193">
        <f>((D150*(1-'5.Closing Stock &amp; W Capital'!$D$16))+(C150*'5.Closing Stock &amp; W Capital'!$D$16))*$C209*F$172</f>
        <v>0</v>
      </c>
      <c r="G209" s="193">
        <f>((E150*(1-'5.Closing Stock &amp; W Capital'!$D$16))+(D150*'5.Closing Stock &amp; W Capital'!$D$16))*$C209*G$172</f>
        <v>0</v>
      </c>
      <c r="H209" s="193">
        <f>((F150*(1-'5.Closing Stock &amp; W Capital'!$D$16))+(E150*'5.Closing Stock &amp; W Capital'!$D$16))*$C209*H$172</f>
        <v>0</v>
      </c>
      <c r="I209" s="193">
        <f>((G150*(1-'5.Closing Stock &amp; W Capital'!$D$16))+(F150*'5.Closing Stock &amp; W Capital'!$D$16))*$C209*I$172</f>
        <v>0</v>
      </c>
      <c r="J209" s="193">
        <f>((H150*(1-'5.Closing Stock &amp; W Capital'!$D$16))+(G150*'5.Closing Stock &amp; W Capital'!$D$16))*$C209*J$172</f>
        <v>0</v>
      </c>
      <c r="K209" s="87"/>
      <c r="L209" s="87"/>
    </row>
    <row r="210" spans="1:12">
      <c r="A210" s="90">
        <f t="shared" si="34"/>
        <v>0</v>
      </c>
      <c r="B210" s="88" t="s">
        <v>370</v>
      </c>
      <c r="C210" s="219"/>
      <c r="D210" s="193">
        <f>(B151*(1-'5.Closing Stock &amp; W Capital'!$D$16))*$C210*D$172</f>
        <v>0</v>
      </c>
      <c r="E210" s="193">
        <f>((C151*(1-'5.Closing Stock &amp; W Capital'!$D$16))+(B151*'5.Closing Stock &amp; W Capital'!$D$16))*$C210*E$172</f>
        <v>0</v>
      </c>
      <c r="F210" s="193">
        <f>((D151*(1-'5.Closing Stock &amp; W Capital'!$D$16))+(C151*'5.Closing Stock &amp; W Capital'!$D$16))*$C210*F$172</f>
        <v>0</v>
      </c>
      <c r="G210" s="193">
        <f>((E151*(1-'5.Closing Stock &amp; W Capital'!$D$16))+(D151*'5.Closing Stock &amp; W Capital'!$D$16))*$C210*G$172</f>
        <v>0</v>
      </c>
      <c r="H210" s="193">
        <f>((F151*(1-'5.Closing Stock &amp; W Capital'!$D$16))+(E151*'5.Closing Stock &amp; W Capital'!$D$16))*$C210*H$172</f>
        <v>0</v>
      </c>
      <c r="I210" s="193">
        <f>((G151*(1-'5.Closing Stock &amp; W Capital'!$D$16))+(F151*'5.Closing Stock &amp; W Capital'!$D$16))*$C210*I$172</f>
        <v>0</v>
      </c>
      <c r="J210" s="193">
        <f>((H151*(1-'5.Closing Stock &amp; W Capital'!$D$16))+(G151*'5.Closing Stock &amp; W Capital'!$D$16))*$C210*J$172</f>
        <v>0</v>
      </c>
      <c r="K210" s="87"/>
      <c r="L210" s="87"/>
    </row>
    <row r="211" spans="1:12">
      <c r="A211" s="90">
        <f t="shared" si="34"/>
        <v>0</v>
      </c>
      <c r="B211" s="88" t="s">
        <v>370</v>
      </c>
      <c r="C211" s="219"/>
      <c r="D211" s="193">
        <f>(B152*(1-'5.Closing Stock &amp; W Capital'!$D$16))*$C211*D$172</f>
        <v>0</v>
      </c>
      <c r="E211" s="193">
        <f>((C152*(1-'5.Closing Stock &amp; W Capital'!$D$16))+(B152*'5.Closing Stock &amp; W Capital'!$D$16))*$C211*E$172</f>
        <v>0</v>
      </c>
      <c r="F211" s="193">
        <f>((D152*(1-'5.Closing Stock &amp; W Capital'!$D$16))+(C152*'5.Closing Stock &amp; W Capital'!$D$16))*$C211*F$172</f>
        <v>0</v>
      </c>
      <c r="G211" s="193">
        <f>((E152*(1-'5.Closing Stock &amp; W Capital'!$D$16))+(D152*'5.Closing Stock &amp; W Capital'!$D$16))*$C211*G$172</f>
        <v>0</v>
      </c>
      <c r="H211" s="193">
        <f>((F152*(1-'5.Closing Stock &amp; W Capital'!$D$16))+(E152*'5.Closing Stock &amp; W Capital'!$D$16))*$C211*H$172</f>
        <v>0</v>
      </c>
      <c r="I211" s="193">
        <f>((G152*(1-'5.Closing Stock &amp; W Capital'!$D$16))+(F152*'5.Closing Stock &amp; W Capital'!$D$16))*$C211*I$172</f>
        <v>0</v>
      </c>
      <c r="J211" s="193">
        <f>((H152*(1-'5.Closing Stock &amp; W Capital'!$D$16))+(G152*'5.Closing Stock &amp; W Capital'!$D$16))*$C211*J$172</f>
        <v>0</v>
      </c>
      <c r="K211" s="87"/>
      <c r="L211" s="87"/>
    </row>
    <row r="212" spans="1:12">
      <c r="A212" s="90" t="str">
        <f t="shared" si="34"/>
        <v>Onion</v>
      </c>
      <c r="B212" s="88" t="s">
        <v>370</v>
      </c>
      <c r="C212" s="233">
        <v>2000</v>
      </c>
      <c r="D212" s="193">
        <f>(B153*(1-'5.Closing Stock &amp; W Capital'!$D$16))*$C212*D$172</f>
        <v>0</v>
      </c>
      <c r="E212" s="193">
        <f>((C153*(1-'5.Closing Stock &amp; W Capital'!$D$16))+(B153*'5.Closing Stock &amp; W Capital'!$D$16))*$C212*E$172</f>
        <v>0</v>
      </c>
      <c r="F212" s="193">
        <f>((D153*(1-'5.Closing Stock &amp; W Capital'!$D$16))+(C153*'5.Closing Stock &amp; W Capital'!$D$16))*$C212*F$172</f>
        <v>0</v>
      </c>
      <c r="G212" s="193">
        <f>((E153*(1-'5.Closing Stock &amp; W Capital'!$D$16))+(D153*'5.Closing Stock &amp; W Capital'!$D$16))*$C212*G$172</f>
        <v>0</v>
      </c>
      <c r="H212" s="193">
        <f>((F153*(1-'5.Closing Stock &amp; W Capital'!$D$16))+(E153*'5.Closing Stock &amp; W Capital'!$D$16))*$C212*H$172</f>
        <v>0</v>
      </c>
      <c r="I212" s="193">
        <f>((G153*(1-'5.Closing Stock &amp; W Capital'!$D$16))+(F153*'5.Closing Stock &amp; W Capital'!$D$16))*$C212*I$172</f>
        <v>0</v>
      </c>
      <c r="J212" s="193">
        <f>((H153*(1-'5.Closing Stock &amp; W Capital'!$D$16))+(G153*'5.Closing Stock &amp; W Capital'!$D$16))*$C212*J$172</f>
        <v>0</v>
      </c>
      <c r="K212" s="87"/>
      <c r="L212" s="87"/>
    </row>
    <row r="213" spans="1:12">
      <c r="A213" s="90" t="str">
        <f t="shared" si="34"/>
        <v>Tomato</v>
      </c>
      <c r="B213" s="88" t="s">
        <v>370</v>
      </c>
      <c r="C213" s="233">
        <v>1000</v>
      </c>
      <c r="D213" s="193">
        <f>(B154*(1-'5.Closing Stock &amp; W Capital'!$D$16))*$C213*D$172</f>
        <v>0</v>
      </c>
      <c r="E213" s="193">
        <f>((C154*(1-'5.Closing Stock &amp; W Capital'!$D$16))+(B154*'5.Closing Stock &amp; W Capital'!$D$16))*$C213*E$172</f>
        <v>0</v>
      </c>
      <c r="F213" s="193">
        <f>((D154*(1-'5.Closing Stock &amp; W Capital'!$D$16))+(C154*'5.Closing Stock &amp; W Capital'!$D$16))*$C213*F$172</f>
        <v>0</v>
      </c>
      <c r="G213" s="193">
        <f>((E154*(1-'5.Closing Stock &amp; W Capital'!$D$16))+(D154*'5.Closing Stock &amp; W Capital'!$D$16))*$C213*G$172</f>
        <v>0</v>
      </c>
      <c r="H213" s="193">
        <f>((F154*(1-'5.Closing Stock &amp; W Capital'!$D$16))+(E154*'5.Closing Stock &amp; W Capital'!$D$16))*$C213*H$172</f>
        <v>0</v>
      </c>
      <c r="I213" s="193">
        <f>((G154*(1-'5.Closing Stock &amp; W Capital'!$D$16))+(F154*'5.Closing Stock &amp; W Capital'!$D$16))*$C213*I$172</f>
        <v>0</v>
      </c>
      <c r="J213" s="193">
        <f>((H154*(1-'5.Closing Stock &amp; W Capital'!$D$16))+(G154*'5.Closing Stock &amp; W Capital'!$D$16))*$C213*J$172</f>
        <v>0</v>
      </c>
      <c r="K213" s="87"/>
      <c r="L213" s="87"/>
    </row>
    <row r="214" spans="1:12">
      <c r="A214" s="90" t="str">
        <f t="shared" si="34"/>
        <v>Okra</v>
      </c>
      <c r="B214" s="88" t="s">
        <v>370</v>
      </c>
      <c r="C214" s="233">
        <v>1500</v>
      </c>
      <c r="D214" s="193">
        <f>(B155*(1-'5.Closing Stock &amp; W Capital'!$D$16))*$C214*D$172</f>
        <v>0</v>
      </c>
      <c r="E214" s="193">
        <f>((C155*(1-'5.Closing Stock &amp; W Capital'!$D$16))+(B155*'5.Closing Stock &amp; W Capital'!$D$16))*$C214*E$172</f>
        <v>0</v>
      </c>
      <c r="F214" s="193">
        <f>((D155*(1-'5.Closing Stock &amp; W Capital'!$D$16))+(C155*'5.Closing Stock &amp; W Capital'!$D$16))*$C214*F$172</f>
        <v>0</v>
      </c>
      <c r="G214" s="193">
        <f>((E155*(1-'5.Closing Stock &amp; W Capital'!$D$16))+(D155*'5.Closing Stock &amp; W Capital'!$D$16))*$C214*G$172</f>
        <v>0</v>
      </c>
      <c r="H214" s="193">
        <f>((F155*(1-'5.Closing Stock &amp; W Capital'!$D$16))+(E155*'5.Closing Stock &amp; W Capital'!$D$16))*$C214*H$172</f>
        <v>0</v>
      </c>
      <c r="I214" s="193">
        <f>((G155*(1-'5.Closing Stock &amp; W Capital'!$D$16))+(F155*'5.Closing Stock &amp; W Capital'!$D$16))*$C214*I$172</f>
        <v>0</v>
      </c>
      <c r="J214" s="193">
        <f>((H155*(1-'5.Closing Stock &amp; W Capital'!$D$16))+(G155*'5.Closing Stock &amp; W Capital'!$D$16))*$C214*J$172</f>
        <v>0</v>
      </c>
      <c r="K214" s="87"/>
      <c r="L214" s="87"/>
    </row>
    <row r="215" spans="1:12">
      <c r="A215" s="90" t="str">
        <f t="shared" si="34"/>
        <v>Chilli</v>
      </c>
      <c r="B215" s="88" t="s">
        <v>370</v>
      </c>
      <c r="C215" s="233">
        <v>3000</v>
      </c>
      <c r="D215" s="193">
        <f>(B156*(1-'5.Closing Stock &amp; W Capital'!$D$16))*$C215*D$172</f>
        <v>0</v>
      </c>
      <c r="E215" s="193">
        <f>((C156*(1-'5.Closing Stock &amp; W Capital'!$D$16))+(B156*'5.Closing Stock &amp; W Capital'!$D$16))*$C215*E$172</f>
        <v>0</v>
      </c>
      <c r="F215" s="193">
        <f>((D156*(1-'5.Closing Stock &amp; W Capital'!$D$16))+(C156*'5.Closing Stock &amp; W Capital'!$D$16))*$C215*F$172</f>
        <v>0</v>
      </c>
      <c r="G215" s="193">
        <f>((E156*(1-'5.Closing Stock &amp; W Capital'!$D$16))+(D156*'5.Closing Stock &amp; W Capital'!$D$16))*$C215*G$172</f>
        <v>0</v>
      </c>
      <c r="H215" s="193">
        <f>((F156*(1-'5.Closing Stock &amp; W Capital'!$D$16))+(E156*'5.Closing Stock &amp; W Capital'!$D$16))*$C215*H$172</f>
        <v>0</v>
      </c>
      <c r="I215" s="193">
        <f>((G156*(1-'5.Closing Stock &amp; W Capital'!$D$16))+(F156*'5.Closing Stock &amp; W Capital'!$D$16))*$C215*I$172</f>
        <v>0</v>
      </c>
      <c r="J215" s="193">
        <f>((H156*(1-'5.Closing Stock &amp; W Capital'!$D$16))+(G156*'5.Closing Stock &amp; W Capital'!$D$16))*$C215*J$172</f>
        <v>0</v>
      </c>
      <c r="K215" s="87"/>
      <c r="L215" s="87"/>
    </row>
    <row r="216" spans="1:12">
      <c r="A216" s="90" t="str">
        <f t="shared" si="34"/>
        <v>Brinjal</v>
      </c>
      <c r="B216" s="88" t="s">
        <v>370</v>
      </c>
      <c r="C216" s="233">
        <v>2000</v>
      </c>
      <c r="D216" s="193">
        <f>(B157*(1-'5.Closing Stock &amp; W Capital'!$D$16))*$C216*D$172</f>
        <v>0</v>
      </c>
      <c r="E216" s="193">
        <f>((C157*(1-'5.Closing Stock &amp; W Capital'!$D$16))+(B157*'5.Closing Stock &amp; W Capital'!$D$16))*$C216*E$172</f>
        <v>0</v>
      </c>
      <c r="F216" s="193">
        <f>((D157*(1-'5.Closing Stock &amp; W Capital'!$D$16))+(C157*'5.Closing Stock &amp; W Capital'!$D$16))*$C216*F$172</f>
        <v>0</v>
      </c>
      <c r="G216" s="193">
        <f>((E157*(1-'5.Closing Stock &amp; W Capital'!$D$16))+(D157*'5.Closing Stock &amp; W Capital'!$D$16))*$C216*G$172</f>
        <v>0</v>
      </c>
      <c r="H216" s="193">
        <f>((F157*(1-'5.Closing Stock &amp; W Capital'!$D$16))+(E157*'5.Closing Stock &amp; W Capital'!$D$16))*$C216*H$172</f>
        <v>0</v>
      </c>
      <c r="I216" s="193">
        <f>((G157*(1-'5.Closing Stock &amp; W Capital'!$D$16))+(F157*'5.Closing Stock &amp; W Capital'!$D$16))*$C216*I$172</f>
        <v>0</v>
      </c>
      <c r="J216" s="193">
        <f>((H157*(1-'5.Closing Stock &amp; W Capital'!$D$16))+(G157*'5.Closing Stock &amp; W Capital'!$D$16))*$C216*J$172</f>
        <v>0</v>
      </c>
      <c r="K216" s="87"/>
      <c r="L216" s="87"/>
    </row>
    <row r="217" spans="1:12">
      <c r="A217" s="90">
        <f t="shared" si="34"/>
        <v>0</v>
      </c>
      <c r="B217" s="88" t="s">
        <v>370</v>
      </c>
      <c r="C217" s="233"/>
      <c r="D217" s="193">
        <f>(B158*(1-'5.Closing Stock &amp; W Capital'!$D$16))*$C217*D$172</f>
        <v>0</v>
      </c>
      <c r="E217" s="193">
        <f>((C158*(1-'5.Closing Stock &amp; W Capital'!$D$16))+(B158*'5.Closing Stock &amp; W Capital'!$D$16))*$C217*E$172</f>
        <v>0</v>
      </c>
      <c r="F217" s="193">
        <f>((D158*(1-'5.Closing Stock &amp; W Capital'!$D$16))+(C158*'5.Closing Stock &amp; W Capital'!$D$16))*$C217*F$172</f>
        <v>0</v>
      </c>
      <c r="G217" s="193">
        <f>((E158*(1-'5.Closing Stock &amp; W Capital'!$D$16))+(D158*'5.Closing Stock &amp; W Capital'!$D$16))*$C217*G$172</f>
        <v>0</v>
      </c>
      <c r="H217" s="193">
        <f>((F158*(1-'5.Closing Stock &amp; W Capital'!$D$16))+(E158*'5.Closing Stock &amp; W Capital'!$D$16))*$C217*H$172</f>
        <v>0</v>
      </c>
      <c r="I217" s="193">
        <f>((G158*(1-'5.Closing Stock &amp; W Capital'!$D$16))+(F158*'5.Closing Stock &amp; W Capital'!$D$16))*$C217*I$172</f>
        <v>0</v>
      </c>
      <c r="J217" s="193">
        <f>((H158*(1-'5.Closing Stock &amp; W Capital'!$D$16))+(G158*'5.Closing Stock &amp; W Capital'!$D$16))*$C217*J$172</f>
        <v>0</v>
      </c>
      <c r="K217" s="87"/>
      <c r="L217" s="87"/>
    </row>
    <row r="218" spans="1:12">
      <c r="A218" s="90">
        <f t="shared" si="34"/>
        <v>0</v>
      </c>
      <c r="B218" s="88" t="s">
        <v>370</v>
      </c>
      <c r="C218" s="233"/>
      <c r="D218" s="193">
        <f>(B159*(1-'5.Closing Stock &amp; W Capital'!$D$16))*$C218*D$172</f>
        <v>0</v>
      </c>
      <c r="E218" s="193">
        <f>((C159*(1-'5.Closing Stock &amp; W Capital'!$D$16))+(B159*'5.Closing Stock &amp; W Capital'!$D$16))*$C218*E$172</f>
        <v>0</v>
      </c>
      <c r="F218" s="193">
        <f>((D159*(1-'5.Closing Stock &amp; W Capital'!$D$16))+(C159*'5.Closing Stock &amp; W Capital'!$D$16))*$C218*F$172</f>
        <v>0</v>
      </c>
      <c r="G218" s="193">
        <f>((E159*(1-'5.Closing Stock &amp; W Capital'!$D$16))+(D159*'5.Closing Stock &amp; W Capital'!$D$16))*$C218*G$172</f>
        <v>0</v>
      </c>
      <c r="H218" s="193">
        <f>((F159*(1-'5.Closing Stock &amp; W Capital'!$D$16))+(E159*'5.Closing Stock &amp; W Capital'!$D$16))*$C218*H$172</f>
        <v>0</v>
      </c>
      <c r="I218" s="193">
        <f>((G159*(1-'5.Closing Stock &amp; W Capital'!$D$16))+(F159*'5.Closing Stock &amp; W Capital'!$D$16))*$C218*I$172</f>
        <v>0</v>
      </c>
      <c r="J218" s="193">
        <f>((H159*(1-'5.Closing Stock &amp; W Capital'!$D$16))+(G159*'5.Closing Stock &amp; W Capital'!$D$16))*$C218*J$172</f>
        <v>0</v>
      </c>
      <c r="K218" s="87"/>
      <c r="L218" s="87"/>
    </row>
    <row r="219" spans="1:12">
      <c r="A219" s="90">
        <f t="shared" si="34"/>
        <v>0</v>
      </c>
      <c r="B219" s="88" t="s">
        <v>370</v>
      </c>
      <c r="C219" s="233"/>
      <c r="D219" s="193">
        <f>(B160*(1-'5.Closing Stock &amp; W Capital'!$D$16))*$C219*D$172</f>
        <v>0</v>
      </c>
      <c r="E219" s="193">
        <f>((C160*(1-'5.Closing Stock &amp; W Capital'!$D$16))+(B160*'5.Closing Stock &amp; W Capital'!$D$16))*$C219*E$172</f>
        <v>0</v>
      </c>
      <c r="F219" s="193">
        <f>((D160*(1-'5.Closing Stock &amp; W Capital'!$D$16))+(C160*'5.Closing Stock &amp; W Capital'!$D$16))*$C219*F$172</f>
        <v>0</v>
      </c>
      <c r="G219" s="193">
        <f>((E160*(1-'5.Closing Stock &amp; W Capital'!$D$16))+(D160*'5.Closing Stock &amp; W Capital'!$D$16))*$C219*G$172</f>
        <v>0</v>
      </c>
      <c r="H219" s="193">
        <f>((F160*(1-'5.Closing Stock &amp; W Capital'!$D$16))+(E160*'5.Closing Stock &amp; W Capital'!$D$16))*$C219*H$172</f>
        <v>0</v>
      </c>
      <c r="I219" s="193">
        <f>((G160*(1-'5.Closing Stock &amp; W Capital'!$D$16))+(F160*'5.Closing Stock &amp; W Capital'!$D$16))*$C219*I$172</f>
        <v>0</v>
      </c>
      <c r="J219" s="193">
        <f>((H160*(1-'5.Closing Stock &amp; W Capital'!$D$16))+(G160*'5.Closing Stock &amp; W Capital'!$D$16))*$C219*J$172</f>
        <v>0</v>
      </c>
      <c r="K219" s="87"/>
      <c r="L219" s="87"/>
    </row>
    <row r="220" spans="1:12">
      <c r="A220" s="90">
        <f t="shared" si="34"/>
        <v>0</v>
      </c>
      <c r="B220" s="88" t="s">
        <v>370</v>
      </c>
      <c r="C220" s="233"/>
      <c r="D220" s="193">
        <f>(B161*(1-'5.Closing Stock &amp; W Capital'!$D$16))*$C220*D$172</f>
        <v>0</v>
      </c>
      <c r="E220" s="193">
        <f>((C161*(1-'5.Closing Stock &amp; W Capital'!$D$16))+(B161*'5.Closing Stock &amp; W Capital'!$D$16))*$C220*E$172</f>
        <v>0</v>
      </c>
      <c r="F220" s="193">
        <f>((D161*(1-'5.Closing Stock &amp; W Capital'!$D$16))+(C161*'5.Closing Stock &amp; W Capital'!$D$16))*$C220*F$172</f>
        <v>0</v>
      </c>
      <c r="G220" s="193">
        <f>((E161*(1-'5.Closing Stock &amp; W Capital'!$D$16))+(D161*'5.Closing Stock &amp; W Capital'!$D$16))*$C220*G$172</f>
        <v>0</v>
      </c>
      <c r="H220" s="193">
        <f>((F161*(1-'5.Closing Stock &amp; W Capital'!$D$16))+(E161*'5.Closing Stock &amp; W Capital'!$D$16))*$C220*H$172</f>
        <v>0</v>
      </c>
      <c r="I220" s="193">
        <f>((G161*(1-'5.Closing Stock &amp; W Capital'!$D$16))+(F161*'5.Closing Stock &amp; W Capital'!$D$16))*$C220*I$172</f>
        <v>0</v>
      </c>
      <c r="J220" s="193">
        <f>((H161*(1-'5.Closing Stock &amp; W Capital'!$D$16))+(G161*'5.Closing Stock &amp; W Capital'!$D$16))*$C220*J$172</f>
        <v>0</v>
      </c>
      <c r="K220" s="87"/>
      <c r="L220" s="87"/>
    </row>
    <row r="221" spans="1:12">
      <c r="A221" s="90">
        <f t="shared" ref="A221:A227" si="35">A162</f>
        <v>0</v>
      </c>
      <c r="B221" s="88" t="s">
        <v>370</v>
      </c>
      <c r="C221" s="233"/>
      <c r="D221" s="193">
        <f>(B162*(1-'5.Closing Stock &amp; W Capital'!$D$16))*$C221*D$172</f>
        <v>0</v>
      </c>
      <c r="E221" s="193">
        <f>((C162*(1-'5.Closing Stock &amp; W Capital'!$D$16))+(B162*'5.Closing Stock &amp; W Capital'!$D$16))*$C221*E$172</f>
        <v>0</v>
      </c>
      <c r="F221" s="193">
        <f>((D162*(1-'5.Closing Stock &amp; W Capital'!$D$16))+(C162*'5.Closing Stock &amp; W Capital'!$D$16))*$C221*F$172</f>
        <v>0</v>
      </c>
      <c r="G221" s="193">
        <f>((E162*(1-'5.Closing Stock &amp; W Capital'!$D$16))+(D162*'5.Closing Stock &amp; W Capital'!$D$16))*$C221*G$172</f>
        <v>0</v>
      </c>
      <c r="H221" s="193">
        <f>((F162*(1-'5.Closing Stock &amp; W Capital'!$D$16))+(E162*'5.Closing Stock &amp; W Capital'!$D$16))*$C221*H$172</f>
        <v>0</v>
      </c>
      <c r="I221" s="193">
        <f>((G162*(1-'5.Closing Stock &amp; W Capital'!$D$16))+(F162*'5.Closing Stock &amp; W Capital'!$D$16))*$C221*I$172</f>
        <v>0</v>
      </c>
      <c r="J221" s="193">
        <f>((H162*(1-'5.Closing Stock &amp; W Capital'!$D$16))+(G162*'5.Closing Stock &amp; W Capital'!$D$16))*$C221*J$172</f>
        <v>0</v>
      </c>
      <c r="K221" s="87"/>
      <c r="L221" s="87"/>
    </row>
    <row r="222" spans="1:12">
      <c r="A222" s="90">
        <f t="shared" si="35"/>
        <v>0</v>
      </c>
      <c r="B222" s="88" t="s">
        <v>370</v>
      </c>
      <c r="C222" s="233"/>
      <c r="D222" s="193">
        <f>(B163*(1-'5.Closing Stock &amp; W Capital'!$D$16))*$C222*D$172</f>
        <v>0</v>
      </c>
      <c r="E222" s="193">
        <f>((C163*(1-'5.Closing Stock &amp; W Capital'!$D$16))+(B163*'5.Closing Stock &amp; W Capital'!$D$16))*$C222*E$172</f>
        <v>0</v>
      </c>
      <c r="F222" s="193">
        <f>((D163*(1-'5.Closing Stock &amp; W Capital'!$D$16))+(C163*'5.Closing Stock &amp; W Capital'!$D$16))*$C222*F$172</f>
        <v>0</v>
      </c>
      <c r="G222" s="193">
        <f>((E163*(1-'5.Closing Stock &amp; W Capital'!$D$16))+(D163*'5.Closing Stock &amp; W Capital'!$D$16))*$C222*G$172</f>
        <v>0</v>
      </c>
      <c r="H222" s="193">
        <f>((F163*(1-'5.Closing Stock &amp; W Capital'!$D$16))+(E163*'5.Closing Stock &amp; W Capital'!$D$16))*$C222*H$172</f>
        <v>0</v>
      </c>
      <c r="I222" s="193">
        <f>((G163*(1-'5.Closing Stock &amp; W Capital'!$D$16))+(F163*'5.Closing Stock &amp; W Capital'!$D$16))*$C222*I$172</f>
        <v>0</v>
      </c>
      <c r="J222" s="193">
        <f>((H163*(1-'5.Closing Stock &amp; W Capital'!$D$16))+(G163*'5.Closing Stock &amp; W Capital'!$D$16))*$C222*J$172</f>
        <v>0</v>
      </c>
      <c r="K222" s="87"/>
      <c r="L222" s="87"/>
    </row>
    <row r="223" spans="1:12">
      <c r="A223" s="90">
        <f t="shared" si="35"/>
        <v>0</v>
      </c>
      <c r="B223" s="88" t="s">
        <v>370</v>
      </c>
      <c r="C223" s="233"/>
      <c r="D223" s="193">
        <f>(B164*(1-'5.Closing Stock &amp; W Capital'!$D$16))*$C223*D$172</f>
        <v>0</v>
      </c>
      <c r="E223" s="193">
        <f>((C164*(1-'5.Closing Stock &amp; W Capital'!$D$16))+(B164*'5.Closing Stock &amp; W Capital'!$D$16))*$C223*E$172</f>
        <v>0</v>
      </c>
      <c r="F223" s="193">
        <f>((D164*(1-'5.Closing Stock &amp; W Capital'!$D$16))+(C164*'5.Closing Stock &amp; W Capital'!$D$16))*$C223*F$172</f>
        <v>0</v>
      </c>
      <c r="G223" s="193">
        <f>((E164*(1-'5.Closing Stock &amp; W Capital'!$D$16))+(D164*'5.Closing Stock &amp; W Capital'!$D$16))*$C223*G$172</f>
        <v>0</v>
      </c>
      <c r="H223" s="193">
        <f>((F164*(1-'5.Closing Stock &amp; W Capital'!$D$16))+(E164*'5.Closing Stock &amp; W Capital'!$D$16))*$C223*H$172</f>
        <v>0</v>
      </c>
      <c r="I223" s="193">
        <f>((G164*(1-'5.Closing Stock &amp; W Capital'!$D$16))+(F164*'5.Closing Stock &amp; W Capital'!$D$16))*$C223*I$172</f>
        <v>0</v>
      </c>
      <c r="J223" s="193">
        <f>((H164*(1-'5.Closing Stock &amp; W Capital'!$D$16))+(G164*'5.Closing Stock &amp; W Capital'!$D$16))*$C223*J$172</f>
        <v>0</v>
      </c>
      <c r="K223" s="87"/>
      <c r="L223" s="87"/>
    </row>
    <row r="224" spans="1:12">
      <c r="A224" s="90" t="str">
        <f t="shared" si="35"/>
        <v>Pomegranate</v>
      </c>
      <c r="B224" s="88" t="s">
        <v>370</v>
      </c>
      <c r="C224" s="233">
        <v>5000</v>
      </c>
      <c r="D224" s="193">
        <f>(B165*(1-'5.Closing Stock &amp; W Capital'!$D$16))*$C224*D$172</f>
        <v>0</v>
      </c>
      <c r="E224" s="193">
        <f>((C165*(1-'5.Closing Stock &amp; W Capital'!$D$16))+(B165*'5.Closing Stock &amp; W Capital'!$D$16))*$C224*E$172</f>
        <v>0</v>
      </c>
      <c r="F224" s="193">
        <f>((D165*(1-'5.Closing Stock &amp; W Capital'!$D$16))+(C165*'5.Closing Stock &amp; W Capital'!$D$16))*$C224*F$172</f>
        <v>0</v>
      </c>
      <c r="G224" s="193">
        <f>((E165*(1-'5.Closing Stock &amp; W Capital'!$D$16))+(D165*'5.Closing Stock &amp; W Capital'!$D$16))*$C224*G$172</f>
        <v>0</v>
      </c>
      <c r="H224" s="193">
        <f>((F165*(1-'5.Closing Stock &amp; W Capital'!$D$16))+(E165*'5.Closing Stock &amp; W Capital'!$D$16))*$C224*H$172</f>
        <v>0</v>
      </c>
      <c r="I224" s="193">
        <f>((G165*(1-'5.Closing Stock &amp; W Capital'!$D$16))+(F165*'5.Closing Stock &amp; W Capital'!$D$16))*$C224*I$172</f>
        <v>0</v>
      </c>
      <c r="J224" s="193">
        <f>((H165*(1-'5.Closing Stock &amp; W Capital'!$D$16))+(G165*'5.Closing Stock &amp; W Capital'!$D$16))*$C224*J$172</f>
        <v>0</v>
      </c>
      <c r="K224" s="87"/>
      <c r="L224" s="87"/>
    </row>
    <row r="225" spans="1:12">
      <c r="A225" s="90" t="str">
        <f t="shared" si="35"/>
        <v>Custard Apple</v>
      </c>
      <c r="B225" s="88" t="s">
        <v>370</v>
      </c>
      <c r="C225" s="233"/>
      <c r="D225" s="193">
        <f>(B166*(1-'5.Closing Stock &amp; W Capital'!$D$16))*$C225*D$172</f>
        <v>0</v>
      </c>
      <c r="E225" s="193">
        <f>((C166*(1-'5.Closing Stock &amp; W Capital'!$D$16))+(B166*'5.Closing Stock &amp; W Capital'!$D$16))*$C225*E$172</f>
        <v>0</v>
      </c>
      <c r="F225" s="193">
        <f>((D166*(1-'5.Closing Stock &amp; W Capital'!$D$16))+(C166*'5.Closing Stock &amp; W Capital'!$D$16))*$C225*F$172</f>
        <v>0</v>
      </c>
      <c r="G225" s="193">
        <f>((E166*(1-'5.Closing Stock &amp; W Capital'!$D$16))+(D166*'5.Closing Stock &amp; W Capital'!$D$16))*$C225*G$172</f>
        <v>0</v>
      </c>
      <c r="H225" s="193">
        <f>((F166*(1-'5.Closing Stock &amp; W Capital'!$D$16))+(E166*'5.Closing Stock &amp; W Capital'!$D$16))*$C225*H$172</f>
        <v>0</v>
      </c>
      <c r="I225" s="193">
        <f>((G166*(1-'5.Closing Stock &amp; W Capital'!$D$16))+(F166*'5.Closing Stock &amp; W Capital'!$D$16))*$C225*I$172</f>
        <v>0</v>
      </c>
      <c r="J225" s="193">
        <f>((H166*(1-'5.Closing Stock &amp; W Capital'!$D$16))+(G166*'5.Closing Stock &amp; W Capital'!$D$16))*$C225*J$172</f>
        <v>0</v>
      </c>
      <c r="K225" s="87"/>
      <c r="L225" s="87"/>
    </row>
    <row r="226" spans="1:12">
      <c r="A226" s="90" t="str">
        <f t="shared" si="35"/>
        <v>Guava</v>
      </c>
      <c r="B226" s="88" t="s">
        <v>370</v>
      </c>
      <c r="C226" s="233"/>
      <c r="D226" s="193">
        <f>(B167*(1-'5.Closing Stock &amp; W Capital'!$D$16))*$C226*D$172</f>
        <v>0</v>
      </c>
      <c r="E226" s="193">
        <f>((C167*(1-'5.Closing Stock &amp; W Capital'!$D$16))+(B167*'5.Closing Stock &amp; W Capital'!$D$16))*$C226*E$172</f>
        <v>0</v>
      </c>
      <c r="F226" s="193">
        <f>((D167*(1-'5.Closing Stock &amp; W Capital'!$D$16))+(C167*'5.Closing Stock &amp; W Capital'!$D$16))*$C226*F$172</f>
        <v>0</v>
      </c>
      <c r="G226" s="193">
        <f>((E167*(1-'5.Closing Stock &amp; W Capital'!$D$16))+(D167*'5.Closing Stock &amp; W Capital'!$D$16))*$C226*G$172</f>
        <v>0</v>
      </c>
      <c r="H226" s="193">
        <f>((F167*(1-'5.Closing Stock &amp; W Capital'!$D$16))+(E167*'5.Closing Stock &amp; W Capital'!$D$16))*$C226*H$172</f>
        <v>0</v>
      </c>
      <c r="I226" s="193">
        <f>((G167*(1-'5.Closing Stock &amp; W Capital'!$D$16))+(F167*'5.Closing Stock &amp; W Capital'!$D$16))*$C226*I$172</f>
        <v>0</v>
      </c>
      <c r="J226" s="193">
        <f>((H167*(1-'5.Closing Stock &amp; W Capital'!$D$16))+(G167*'5.Closing Stock &amp; W Capital'!$D$16))*$C226*J$172</f>
        <v>0</v>
      </c>
      <c r="K226" s="87"/>
      <c r="L226" s="87"/>
    </row>
    <row r="227" spans="1:12">
      <c r="A227" s="90" t="str">
        <f t="shared" si="35"/>
        <v>Citrus</v>
      </c>
      <c r="B227" s="88" t="s">
        <v>370</v>
      </c>
      <c r="C227" s="233"/>
      <c r="D227" s="193">
        <f>(B168*(1-'5.Closing Stock &amp; W Capital'!$D$16))*$C227*D$172</f>
        <v>0</v>
      </c>
      <c r="E227" s="193">
        <f>((C168*(1-'5.Closing Stock &amp; W Capital'!$D$16))+(B168*'5.Closing Stock &amp; W Capital'!$D$16))*$C227*E$172</f>
        <v>0</v>
      </c>
      <c r="F227" s="193">
        <f>((D168*(1-'5.Closing Stock &amp; W Capital'!$D$16))+(C168*'5.Closing Stock &amp; W Capital'!$D$16))*$C227*F$172</f>
        <v>0</v>
      </c>
      <c r="G227" s="193">
        <f>((E168*(1-'5.Closing Stock &amp; W Capital'!$D$16))+(D168*'5.Closing Stock &amp; W Capital'!$D$16))*$C227*G$172</f>
        <v>0</v>
      </c>
      <c r="H227" s="193">
        <f>((F168*(1-'5.Closing Stock &amp; W Capital'!$D$16))+(E168*'5.Closing Stock &amp; W Capital'!$D$16))*$C227*H$172</f>
        <v>0</v>
      </c>
      <c r="I227" s="193">
        <f>((G168*(1-'5.Closing Stock &amp; W Capital'!$D$16))+(F168*'5.Closing Stock &amp; W Capital'!$D$16))*$C227*I$172</f>
        <v>0</v>
      </c>
      <c r="J227" s="193">
        <f>((H168*(1-'5.Closing Stock &amp; W Capital'!$D$16))+(G168*'5.Closing Stock &amp; W Capital'!$D$16))*$C227*J$172</f>
        <v>0</v>
      </c>
      <c r="K227" s="87"/>
      <c r="L227" s="87"/>
    </row>
    <row r="228" spans="1:12">
      <c r="A228" s="90"/>
      <c r="B228" s="90"/>
      <c r="C228" s="90"/>
      <c r="D228" s="88"/>
      <c r="E228" s="88"/>
      <c r="F228" s="88"/>
      <c r="G228" s="88"/>
      <c r="H228" s="88"/>
      <c r="I228" s="88"/>
      <c r="J228" s="88"/>
      <c r="K228" s="87"/>
      <c r="L228" s="87"/>
    </row>
    <row r="229" spans="1:12">
      <c r="A229" s="90" t="s">
        <v>144</v>
      </c>
      <c r="B229" s="90"/>
      <c r="C229" s="90"/>
      <c r="D229" s="195">
        <f t="shared" ref="D229:J229" si="36">SUM(D178:D228)</f>
        <v>0</v>
      </c>
      <c r="E229" s="195">
        <f t="shared" si="36"/>
        <v>0</v>
      </c>
      <c r="F229" s="195">
        <f t="shared" si="36"/>
        <v>0</v>
      </c>
      <c r="G229" s="195">
        <f t="shared" si="36"/>
        <v>0</v>
      </c>
      <c r="H229" s="195">
        <f t="shared" si="36"/>
        <v>0</v>
      </c>
      <c r="I229" s="195">
        <f t="shared" si="36"/>
        <v>0</v>
      </c>
      <c r="J229" s="195">
        <f t="shared" si="36"/>
        <v>0</v>
      </c>
      <c r="K229" s="87"/>
      <c r="L229" s="87"/>
    </row>
    <row r="230" spans="1:12">
      <c r="A230" s="88"/>
      <c r="B230" s="88"/>
      <c r="C230" s="88"/>
      <c r="D230" s="88"/>
      <c r="E230" s="88"/>
      <c r="F230" s="88"/>
      <c r="G230" s="88"/>
      <c r="H230" s="88"/>
      <c r="I230" s="88"/>
      <c r="J230" s="88"/>
      <c r="K230" s="87"/>
      <c r="L230" s="87"/>
    </row>
    <row r="231" spans="1:12">
      <c r="A231" s="90" t="s">
        <v>143</v>
      </c>
      <c r="B231" s="90"/>
      <c r="C231" s="90"/>
      <c r="D231" s="88"/>
      <c r="E231" s="88"/>
      <c r="F231" s="88"/>
      <c r="G231" s="88"/>
      <c r="H231" s="88"/>
      <c r="I231" s="88"/>
      <c r="J231" s="88"/>
      <c r="K231" s="87"/>
      <c r="L231" s="87"/>
    </row>
    <row r="232" spans="1:12">
      <c r="A232" s="90" t="s">
        <v>316</v>
      </c>
      <c r="B232" s="90"/>
      <c r="C232" s="88"/>
      <c r="D232" s="88"/>
      <c r="E232" s="88"/>
      <c r="F232" s="88"/>
      <c r="G232" s="88"/>
      <c r="H232" s="88"/>
      <c r="I232" s="88"/>
      <c r="J232" s="88"/>
      <c r="K232" s="87"/>
      <c r="L232" s="87"/>
    </row>
    <row r="233" spans="1:12">
      <c r="A233" s="88" t="str">
        <f t="shared" ref="A233:A254" si="37">A178</f>
        <v>Soybean</v>
      </c>
      <c r="B233" s="88" t="s">
        <v>370</v>
      </c>
      <c r="C233" s="229">
        <v>3800</v>
      </c>
      <c r="D233" s="89">
        <f>B68*$C$233*D$172</f>
        <v>0</v>
      </c>
      <c r="E233" s="89">
        <f>C68*$C$233*E$172</f>
        <v>0</v>
      </c>
      <c r="F233" s="89">
        <f>D68*$C$233*F172</f>
        <v>0</v>
      </c>
      <c r="G233" s="89">
        <f>E68*$C$233*G172</f>
        <v>0</v>
      </c>
      <c r="H233" s="89">
        <f>F68*$C$233*H172</f>
        <v>0</v>
      </c>
      <c r="I233" s="89">
        <f>G68*$C$233*I172</f>
        <v>0</v>
      </c>
      <c r="J233" s="89">
        <f>H68*$C$233*J172</f>
        <v>0</v>
      </c>
      <c r="K233" s="87"/>
      <c r="L233" s="87"/>
    </row>
    <row r="234" spans="1:12">
      <c r="A234" s="88" t="str">
        <f t="shared" si="37"/>
        <v>Red Gram/Tur</v>
      </c>
      <c r="B234" s="88" t="s">
        <v>370</v>
      </c>
      <c r="C234" s="229">
        <v>5800</v>
      </c>
      <c r="D234" s="89">
        <f>B69*$C$234*D$172</f>
        <v>0</v>
      </c>
      <c r="E234" s="89">
        <f t="shared" ref="E234:J234" si="38">C69*$C$234*E172</f>
        <v>0</v>
      </c>
      <c r="F234" s="89">
        <f t="shared" si="38"/>
        <v>0</v>
      </c>
      <c r="G234" s="89">
        <f t="shared" si="38"/>
        <v>0</v>
      </c>
      <c r="H234" s="89">
        <f t="shared" si="38"/>
        <v>0</v>
      </c>
      <c r="I234" s="89">
        <f t="shared" si="38"/>
        <v>0</v>
      </c>
      <c r="J234" s="89">
        <f t="shared" si="38"/>
        <v>0</v>
      </c>
      <c r="K234" s="87"/>
      <c r="L234" s="87"/>
    </row>
    <row r="235" spans="1:12">
      <c r="A235" s="88" t="str">
        <f t="shared" si="37"/>
        <v>Paddy/Rice</v>
      </c>
      <c r="B235" s="88" t="s">
        <v>370</v>
      </c>
      <c r="C235" s="229"/>
      <c r="D235" s="89">
        <f>B70*$C$235*D$172</f>
        <v>0</v>
      </c>
      <c r="E235" s="89">
        <f t="shared" ref="E235:J235" si="39">C70*$C$235*E172</f>
        <v>0</v>
      </c>
      <c r="F235" s="89">
        <f t="shared" si="39"/>
        <v>0</v>
      </c>
      <c r="G235" s="89">
        <f t="shared" si="39"/>
        <v>0</v>
      </c>
      <c r="H235" s="89">
        <f t="shared" si="39"/>
        <v>0</v>
      </c>
      <c r="I235" s="89">
        <f t="shared" si="39"/>
        <v>0</v>
      </c>
      <c r="J235" s="89">
        <f t="shared" si="39"/>
        <v>0</v>
      </c>
      <c r="K235" s="87"/>
      <c r="L235" s="87"/>
    </row>
    <row r="236" spans="1:12">
      <c r="A236" s="88" t="str">
        <f t="shared" si="37"/>
        <v>Green Gram/ Moong</v>
      </c>
      <c r="B236" s="88" t="s">
        <v>370</v>
      </c>
      <c r="C236" s="229">
        <v>5800</v>
      </c>
      <c r="D236" s="89">
        <f t="shared" ref="D236:J236" si="40">B71*$C$236*D$172</f>
        <v>0</v>
      </c>
      <c r="E236" s="89">
        <f t="shared" si="40"/>
        <v>0</v>
      </c>
      <c r="F236" s="89">
        <f t="shared" si="40"/>
        <v>0</v>
      </c>
      <c r="G236" s="89">
        <f t="shared" si="40"/>
        <v>0</v>
      </c>
      <c r="H236" s="89">
        <f t="shared" si="40"/>
        <v>0</v>
      </c>
      <c r="I236" s="89">
        <f t="shared" si="40"/>
        <v>0</v>
      </c>
      <c r="J236" s="89">
        <f t="shared" si="40"/>
        <v>0</v>
      </c>
      <c r="K236" s="87"/>
      <c r="L236" s="87"/>
    </row>
    <row r="237" spans="1:12">
      <c r="A237" s="88" t="str">
        <f t="shared" si="37"/>
        <v>Maize</v>
      </c>
      <c r="B237" s="88" t="s">
        <v>370</v>
      </c>
      <c r="C237" s="229"/>
      <c r="D237" s="89">
        <f t="shared" ref="D237:J237" si="41">B72*$C$237*D$172</f>
        <v>0</v>
      </c>
      <c r="E237" s="89">
        <f t="shared" si="41"/>
        <v>0</v>
      </c>
      <c r="F237" s="89">
        <f t="shared" si="41"/>
        <v>0</v>
      </c>
      <c r="G237" s="89">
        <f t="shared" si="41"/>
        <v>0</v>
      </c>
      <c r="H237" s="89">
        <f t="shared" si="41"/>
        <v>0</v>
      </c>
      <c r="I237" s="89">
        <f t="shared" si="41"/>
        <v>0</v>
      </c>
      <c r="J237" s="89">
        <f t="shared" si="41"/>
        <v>0</v>
      </c>
      <c r="K237" s="87"/>
      <c r="L237" s="87"/>
    </row>
    <row r="238" spans="1:12">
      <c r="A238" s="88" t="str">
        <f t="shared" si="37"/>
        <v>Black Gram/Udid</v>
      </c>
      <c r="B238" s="88" t="s">
        <v>370</v>
      </c>
      <c r="C238" s="229">
        <v>6300</v>
      </c>
      <c r="D238" s="89">
        <f t="shared" ref="D238:J238" si="42">B73*$C$238*D$172</f>
        <v>0</v>
      </c>
      <c r="E238" s="89">
        <f t="shared" si="42"/>
        <v>0</v>
      </c>
      <c r="F238" s="89">
        <f t="shared" si="42"/>
        <v>0</v>
      </c>
      <c r="G238" s="89">
        <f t="shared" si="42"/>
        <v>0</v>
      </c>
      <c r="H238" s="89">
        <f t="shared" si="42"/>
        <v>0</v>
      </c>
      <c r="I238" s="89">
        <f t="shared" si="42"/>
        <v>0</v>
      </c>
      <c r="J238" s="89">
        <f t="shared" si="42"/>
        <v>0</v>
      </c>
      <c r="K238" s="87"/>
      <c r="L238" s="87"/>
    </row>
    <row r="239" spans="1:12">
      <c r="A239" s="88" t="str">
        <f t="shared" si="37"/>
        <v>Bajra</v>
      </c>
      <c r="B239" s="88" t="s">
        <v>370</v>
      </c>
      <c r="C239" s="229">
        <v>1800</v>
      </c>
      <c r="D239" s="89">
        <f t="shared" ref="D239:J239" si="43">B74*$C$239*D$172</f>
        <v>0</v>
      </c>
      <c r="E239" s="89">
        <f t="shared" si="43"/>
        <v>0</v>
      </c>
      <c r="F239" s="89">
        <f t="shared" si="43"/>
        <v>0</v>
      </c>
      <c r="G239" s="89">
        <f t="shared" si="43"/>
        <v>0</v>
      </c>
      <c r="H239" s="89">
        <f t="shared" si="43"/>
        <v>0</v>
      </c>
      <c r="I239" s="89">
        <f t="shared" si="43"/>
        <v>0</v>
      </c>
      <c r="J239" s="89">
        <f t="shared" si="43"/>
        <v>0</v>
      </c>
      <c r="K239" s="87"/>
      <c r="L239" s="87"/>
    </row>
    <row r="240" spans="1:12">
      <c r="A240" s="88" t="str">
        <f t="shared" si="37"/>
        <v>Bengal Gram/Channa</v>
      </c>
      <c r="B240" s="88" t="s">
        <v>370</v>
      </c>
      <c r="C240" s="229"/>
      <c r="D240" s="89">
        <f t="shared" ref="D240:J240" si="44">B75*$C$240*D$172</f>
        <v>0</v>
      </c>
      <c r="E240" s="89">
        <f t="shared" si="44"/>
        <v>0</v>
      </c>
      <c r="F240" s="89">
        <f t="shared" si="44"/>
        <v>0</v>
      </c>
      <c r="G240" s="89">
        <f t="shared" si="44"/>
        <v>0</v>
      </c>
      <c r="H240" s="89">
        <f t="shared" si="44"/>
        <v>0</v>
      </c>
      <c r="I240" s="89">
        <f t="shared" si="44"/>
        <v>0</v>
      </c>
      <c r="J240" s="89">
        <f t="shared" si="44"/>
        <v>0</v>
      </c>
      <c r="K240" s="87"/>
      <c r="L240" s="87"/>
    </row>
    <row r="241" spans="1:12">
      <c r="A241" s="88" t="str">
        <f t="shared" si="37"/>
        <v>Sunflower</v>
      </c>
      <c r="B241" s="88" t="s">
        <v>370</v>
      </c>
      <c r="C241" s="229"/>
      <c r="D241" s="89">
        <f t="shared" ref="D241:J241" si="45">B76*$C$241*D$172</f>
        <v>0</v>
      </c>
      <c r="E241" s="89">
        <f t="shared" si="45"/>
        <v>0</v>
      </c>
      <c r="F241" s="89">
        <f t="shared" si="45"/>
        <v>0</v>
      </c>
      <c r="G241" s="89">
        <f t="shared" si="45"/>
        <v>0</v>
      </c>
      <c r="H241" s="89">
        <f t="shared" si="45"/>
        <v>0</v>
      </c>
      <c r="I241" s="89">
        <f t="shared" si="45"/>
        <v>0</v>
      </c>
      <c r="J241" s="89">
        <f t="shared" si="45"/>
        <v>0</v>
      </c>
      <c r="K241" s="87"/>
      <c r="L241" s="87"/>
    </row>
    <row r="242" spans="1:12">
      <c r="A242" s="88" t="str">
        <f t="shared" si="37"/>
        <v>Wheat</v>
      </c>
      <c r="B242" s="88" t="s">
        <v>370</v>
      </c>
      <c r="C242" s="229"/>
      <c r="D242" s="89">
        <f t="shared" ref="D242:J242" si="46">B77*$C$242*D$172</f>
        <v>0</v>
      </c>
      <c r="E242" s="89">
        <f t="shared" si="46"/>
        <v>0</v>
      </c>
      <c r="F242" s="89">
        <f t="shared" si="46"/>
        <v>0</v>
      </c>
      <c r="G242" s="89">
        <f t="shared" si="46"/>
        <v>0</v>
      </c>
      <c r="H242" s="89">
        <f t="shared" si="46"/>
        <v>0</v>
      </c>
      <c r="I242" s="89">
        <f t="shared" si="46"/>
        <v>0</v>
      </c>
      <c r="J242" s="89">
        <f t="shared" si="46"/>
        <v>0</v>
      </c>
      <c r="K242" s="87"/>
      <c r="L242" s="87"/>
    </row>
    <row r="243" spans="1:12">
      <c r="A243" s="88" t="str">
        <f t="shared" si="37"/>
        <v>Bengal Gram/Channa</v>
      </c>
      <c r="B243" s="88" t="s">
        <v>370</v>
      </c>
      <c r="C243" s="229">
        <v>4800</v>
      </c>
      <c r="D243" s="89">
        <f t="shared" ref="D243:J243" si="47">B78*$C$243*D$172</f>
        <v>0</v>
      </c>
      <c r="E243" s="89">
        <f t="shared" si="47"/>
        <v>0</v>
      </c>
      <c r="F243" s="89">
        <f t="shared" si="47"/>
        <v>0</v>
      </c>
      <c r="G243" s="89">
        <f t="shared" si="47"/>
        <v>0</v>
      </c>
      <c r="H243" s="89">
        <f t="shared" si="47"/>
        <v>0</v>
      </c>
      <c r="I243" s="89">
        <f t="shared" si="47"/>
        <v>0</v>
      </c>
      <c r="J243" s="89">
        <f t="shared" si="47"/>
        <v>0</v>
      </c>
      <c r="K243" s="87"/>
      <c r="L243" s="87"/>
    </row>
    <row r="244" spans="1:12">
      <c r="A244" s="88" t="str">
        <f t="shared" si="37"/>
        <v>Jawar</v>
      </c>
      <c r="B244" s="88" t="s">
        <v>370</v>
      </c>
      <c r="C244" s="229"/>
      <c r="D244" s="89">
        <f t="shared" ref="D244:J244" si="48">B79*$C$244*D$172</f>
        <v>0</v>
      </c>
      <c r="E244" s="89">
        <f t="shared" si="48"/>
        <v>0</v>
      </c>
      <c r="F244" s="89">
        <f t="shared" si="48"/>
        <v>0</v>
      </c>
      <c r="G244" s="89">
        <f t="shared" si="48"/>
        <v>0</v>
      </c>
      <c r="H244" s="89">
        <f t="shared" si="48"/>
        <v>0</v>
      </c>
      <c r="I244" s="89">
        <f t="shared" si="48"/>
        <v>0</v>
      </c>
      <c r="J244" s="89">
        <f t="shared" si="48"/>
        <v>0</v>
      </c>
      <c r="K244" s="87"/>
      <c r="L244" s="87"/>
    </row>
    <row r="245" spans="1:12">
      <c r="A245" s="88" t="str">
        <f t="shared" si="37"/>
        <v>Maize</v>
      </c>
      <c r="B245" s="88" t="s">
        <v>370</v>
      </c>
      <c r="C245" s="229"/>
      <c r="D245" s="89">
        <f t="shared" ref="D245:J245" si="49">B80*$C$245*D$172</f>
        <v>0</v>
      </c>
      <c r="E245" s="89">
        <f t="shared" si="49"/>
        <v>0</v>
      </c>
      <c r="F245" s="89">
        <f t="shared" si="49"/>
        <v>0</v>
      </c>
      <c r="G245" s="89">
        <f t="shared" si="49"/>
        <v>0</v>
      </c>
      <c r="H245" s="89">
        <f t="shared" si="49"/>
        <v>0</v>
      </c>
      <c r="I245" s="89">
        <f t="shared" si="49"/>
        <v>0</v>
      </c>
      <c r="J245" s="89">
        <f t="shared" si="49"/>
        <v>0</v>
      </c>
      <c r="K245" s="87"/>
      <c r="L245" s="87"/>
    </row>
    <row r="246" spans="1:12">
      <c r="A246" s="88" t="str">
        <f t="shared" si="37"/>
        <v>Safflower</v>
      </c>
      <c r="B246" s="88" t="s">
        <v>370</v>
      </c>
      <c r="C246" s="229"/>
      <c r="D246" s="89">
        <f t="shared" ref="D246:J246" si="50">B81*$C$246*D$172</f>
        <v>0</v>
      </c>
      <c r="E246" s="89">
        <f t="shared" si="50"/>
        <v>0</v>
      </c>
      <c r="F246" s="89">
        <f t="shared" si="50"/>
        <v>0</v>
      </c>
      <c r="G246" s="89">
        <f t="shared" si="50"/>
        <v>0</v>
      </c>
      <c r="H246" s="89">
        <f t="shared" si="50"/>
        <v>0</v>
      </c>
      <c r="I246" s="89">
        <f t="shared" si="50"/>
        <v>0</v>
      </c>
      <c r="J246" s="89">
        <f t="shared" si="50"/>
        <v>0</v>
      </c>
      <c r="K246" s="87"/>
      <c r="L246" s="87"/>
    </row>
    <row r="247" spans="1:12">
      <c r="A247" s="88">
        <f t="shared" si="37"/>
        <v>0</v>
      </c>
      <c r="B247" s="88" t="s">
        <v>370</v>
      </c>
      <c r="C247" s="229"/>
      <c r="D247" s="89">
        <f t="shared" ref="D247:J247" si="51">B82*$C$247*D$172</f>
        <v>0</v>
      </c>
      <c r="E247" s="89">
        <f t="shared" si="51"/>
        <v>0</v>
      </c>
      <c r="F247" s="89">
        <f t="shared" si="51"/>
        <v>0</v>
      </c>
      <c r="G247" s="89">
        <f t="shared" si="51"/>
        <v>0</v>
      </c>
      <c r="H247" s="89">
        <f t="shared" si="51"/>
        <v>0</v>
      </c>
      <c r="I247" s="89">
        <f t="shared" si="51"/>
        <v>0</v>
      </c>
      <c r="J247" s="89">
        <f t="shared" si="51"/>
        <v>0</v>
      </c>
      <c r="K247" s="87"/>
      <c r="L247" s="87"/>
    </row>
    <row r="248" spans="1:12">
      <c r="A248" s="88">
        <f t="shared" si="37"/>
        <v>0</v>
      </c>
      <c r="B248" s="88" t="s">
        <v>370</v>
      </c>
      <c r="C248" s="229"/>
      <c r="D248" s="89">
        <f t="shared" ref="D248:J248" si="52">B83*$C$248*D$172</f>
        <v>0</v>
      </c>
      <c r="E248" s="89">
        <f t="shared" si="52"/>
        <v>0</v>
      </c>
      <c r="F248" s="89">
        <f t="shared" si="52"/>
        <v>0</v>
      </c>
      <c r="G248" s="89">
        <f t="shared" si="52"/>
        <v>0</v>
      </c>
      <c r="H248" s="89">
        <f t="shared" si="52"/>
        <v>0</v>
      </c>
      <c r="I248" s="89">
        <f t="shared" si="52"/>
        <v>0</v>
      </c>
      <c r="J248" s="89">
        <f t="shared" si="52"/>
        <v>0</v>
      </c>
      <c r="K248" s="87"/>
      <c r="L248" s="87"/>
    </row>
    <row r="249" spans="1:12">
      <c r="A249" s="88">
        <f t="shared" si="37"/>
        <v>0</v>
      </c>
      <c r="B249" s="88" t="s">
        <v>370</v>
      </c>
      <c r="C249" s="229"/>
      <c r="D249" s="89">
        <f t="shared" ref="D249:J255" si="53">B84*$C249*D$172</f>
        <v>0</v>
      </c>
      <c r="E249" s="89">
        <f t="shared" si="53"/>
        <v>0</v>
      </c>
      <c r="F249" s="89">
        <f t="shared" si="53"/>
        <v>0</v>
      </c>
      <c r="G249" s="89">
        <f t="shared" si="53"/>
        <v>0</v>
      </c>
      <c r="H249" s="89">
        <f t="shared" si="53"/>
        <v>0</v>
      </c>
      <c r="I249" s="89">
        <f t="shared" si="53"/>
        <v>0</v>
      </c>
      <c r="J249" s="89">
        <f t="shared" si="53"/>
        <v>0</v>
      </c>
      <c r="K249" s="87"/>
      <c r="L249" s="87"/>
    </row>
    <row r="250" spans="1:12">
      <c r="A250" s="88" t="str">
        <f t="shared" si="37"/>
        <v>Groundnut</v>
      </c>
      <c r="B250" s="88" t="s">
        <v>370</v>
      </c>
      <c r="C250" s="229"/>
      <c r="D250" s="89">
        <f t="shared" si="53"/>
        <v>0</v>
      </c>
      <c r="E250" s="89">
        <f t="shared" si="53"/>
        <v>0</v>
      </c>
      <c r="F250" s="89">
        <f t="shared" si="53"/>
        <v>0</v>
      </c>
      <c r="G250" s="89">
        <f t="shared" si="53"/>
        <v>0</v>
      </c>
      <c r="H250" s="89">
        <f t="shared" si="53"/>
        <v>0</v>
      </c>
      <c r="I250" s="89">
        <f t="shared" si="53"/>
        <v>0</v>
      </c>
      <c r="J250" s="89">
        <f t="shared" si="53"/>
        <v>0</v>
      </c>
      <c r="K250" s="87"/>
      <c r="L250" s="87"/>
    </row>
    <row r="251" spans="1:12">
      <c r="A251" s="88" t="str">
        <f t="shared" si="37"/>
        <v>Bengal Gram/Channa</v>
      </c>
      <c r="B251" s="88" t="s">
        <v>370</v>
      </c>
      <c r="C251" s="229"/>
      <c r="D251" s="89">
        <f t="shared" si="53"/>
        <v>0</v>
      </c>
      <c r="E251" s="89">
        <f t="shared" si="53"/>
        <v>0</v>
      </c>
      <c r="F251" s="89">
        <f t="shared" si="53"/>
        <v>0</v>
      </c>
      <c r="G251" s="89">
        <f t="shared" si="53"/>
        <v>0</v>
      </c>
      <c r="H251" s="89">
        <f t="shared" si="53"/>
        <v>0</v>
      </c>
      <c r="I251" s="89">
        <f t="shared" si="53"/>
        <v>0</v>
      </c>
      <c r="J251" s="89">
        <f t="shared" si="53"/>
        <v>0</v>
      </c>
      <c r="K251" s="87"/>
      <c r="L251" s="87"/>
    </row>
    <row r="252" spans="1:12">
      <c r="A252" s="88">
        <f t="shared" si="37"/>
        <v>0</v>
      </c>
      <c r="B252" s="88" t="s">
        <v>370</v>
      </c>
      <c r="C252" s="229"/>
      <c r="D252" s="89">
        <f t="shared" si="53"/>
        <v>0</v>
      </c>
      <c r="E252" s="89">
        <f t="shared" si="53"/>
        <v>0</v>
      </c>
      <c r="F252" s="89">
        <f t="shared" si="53"/>
        <v>0</v>
      </c>
      <c r="G252" s="89">
        <f t="shared" si="53"/>
        <v>0</v>
      </c>
      <c r="H252" s="89">
        <f t="shared" si="53"/>
        <v>0</v>
      </c>
      <c r="I252" s="89">
        <f t="shared" si="53"/>
        <v>0</v>
      </c>
      <c r="J252" s="89">
        <f t="shared" si="53"/>
        <v>0</v>
      </c>
      <c r="K252" s="87"/>
      <c r="L252" s="87"/>
    </row>
    <row r="253" spans="1:12">
      <c r="A253" s="88">
        <f t="shared" si="37"/>
        <v>0</v>
      </c>
      <c r="B253" s="88" t="s">
        <v>370</v>
      </c>
      <c r="C253" s="229"/>
      <c r="D253" s="89">
        <f t="shared" si="53"/>
        <v>0</v>
      </c>
      <c r="E253" s="89">
        <f t="shared" si="53"/>
        <v>0</v>
      </c>
      <c r="F253" s="89">
        <f t="shared" si="53"/>
        <v>0</v>
      </c>
      <c r="G253" s="89">
        <f t="shared" si="53"/>
        <v>0</v>
      </c>
      <c r="H253" s="89">
        <f t="shared" si="53"/>
        <v>0</v>
      </c>
      <c r="I253" s="89">
        <f t="shared" si="53"/>
        <v>0</v>
      </c>
      <c r="J253" s="89">
        <f t="shared" si="53"/>
        <v>0</v>
      </c>
      <c r="K253" s="87"/>
      <c r="L253" s="87"/>
    </row>
    <row r="254" spans="1:12">
      <c r="A254" s="88">
        <f t="shared" si="37"/>
        <v>0</v>
      </c>
      <c r="B254" s="88" t="s">
        <v>370</v>
      </c>
      <c r="C254" s="229"/>
      <c r="D254" s="89">
        <f t="shared" si="53"/>
        <v>0</v>
      </c>
      <c r="E254" s="89">
        <f t="shared" si="53"/>
        <v>0</v>
      </c>
      <c r="F254" s="89">
        <f t="shared" si="53"/>
        <v>0</v>
      </c>
      <c r="G254" s="89">
        <f t="shared" si="53"/>
        <v>0</v>
      </c>
      <c r="H254" s="89">
        <f t="shared" si="53"/>
        <v>0</v>
      </c>
      <c r="I254" s="89">
        <f t="shared" si="53"/>
        <v>0</v>
      </c>
      <c r="J254" s="89">
        <f t="shared" si="53"/>
        <v>0</v>
      </c>
      <c r="K254" s="87"/>
      <c r="L254" s="87"/>
    </row>
    <row r="255" spans="1:12">
      <c r="A255" s="88">
        <f t="shared" ref="A255:A274" si="54">A201</f>
        <v>0</v>
      </c>
      <c r="B255" s="88"/>
      <c r="C255" s="229"/>
      <c r="D255" s="89">
        <f t="shared" si="53"/>
        <v>0</v>
      </c>
      <c r="E255" s="89">
        <f t="shared" si="53"/>
        <v>0</v>
      </c>
      <c r="F255" s="89">
        <f t="shared" si="53"/>
        <v>0</v>
      </c>
      <c r="G255" s="89">
        <f t="shared" si="53"/>
        <v>0</v>
      </c>
      <c r="H255" s="89">
        <f t="shared" si="53"/>
        <v>0</v>
      </c>
      <c r="I255" s="89">
        <f t="shared" si="53"/>
        <v>0</v>
      </c>
      <c r="J255" s="89">
        <f t="shared" si="53"/>
        <v>0</v>
      </c>
      <c r="K255" s="87"/>
      <c r="L255" s="87"/>
    </row>
    <row r="256" spans="1:12">
      <c r="A256" s="90" t="str">
        <f t="shared" si="54"/>
        <v>Fruit  &amp; Vegetables Crop Production Details</v>
      </c>
      <c r="B256" s="88"/>
      <c r="C256" s="229"/>
      <c r="D256" s="89"/>
      <c r="E256" s="89"/>
      <c r="F256" s="89"/>
      <c r="G256" s="89"/>
      <c r="H256" s="89"/>
      <c r="I256" s="89"/>
      <c r="J256" s="89"/>
      <c r="K256" s="87"/>
      <c r="L256" s="87"/>
    </row>
    <row r="257" spans="1:12">
      <c r="A257" s="88" t="str">
        <f t="shared" si="54"/>
        <v>Onion</v>
      </c>
      <c r="B257" s="88" t="s">
        <v>370</v>
      </c>
      <c r="C257" s="229">
        <v>1800</v>
      </c>
      <c r="D257" s="89">
        <f t="shared" ref="D257:D274" si="55">B92*$C257*D$172</f>
        <v>0</v>
      </c>
      <c r="E257" s="89">
        <f t="shared" ref="E257:E274" si="56">C92*$C257*E$172</f>
        <v>0</v>
      </c>
      <c r="F257" s="89">
        <f t="shared" ref="F257:F274" si="57">D92*$C257*F$172</f>
        <v>0</v>
      </c>
      <c r="G257" s="89">
        <f t="shared" ref="G257:G274" si="58">E92*$C257*G$172</f>
        <v>0</v>
      </c>
      <c r="H257" s="89">
        <f t="shared" ref="H257:H274" si="59">F92*$C257*H$172</f>
        <v>0</v>
      </c>
      <c r="I257" s="89">
        <f t="shared" ref="I257:I274" si="60">G92*$C257*I$172</f>
        <v>0</v>
      </c>
      <c r="J257" s="89">
        <f t="shared" ref="J257:J274" si="61">H92*$C257*J$172</f>
        <v>0</v>
      </c>
      <c r="K257" s="87"/>
      <c r="L257" s="87"/>
    </row>
    <row r="258" spans="1:12">
      <c r="A258" s="88" t="str">
        <f t="shared" si="54"/>
        <v>Tomato</v>
      </c>
      <c r="B258" s="88" t="s">
        <v>370</v>
      </c>
      <c r="C258" s="229">
        <v>800</v>
      </c>
      <c r="D258" s="89">
        <f t="shared" si="55"/>
        <v>0</v>
      </c>
      <c r="E258" s="89">
        <f t="shared" si="56"/>
        <v>0</v>
      </c>
      <c r="F258" s="89">
        <f t="shared" si="57"/>
        <v>0</v>
      </c>
      <c r="G258" s="89">
        <f t="shared" si="58"/>
        <v>0</v>
      </c>
      <c r="H258" s="89">
        <f t="shared" si="59"/>
        <v>0</v>
      </c>
      <c r="I258" s="89">
        <f t="shared" si="60"/>
        <v>0</v>
      </c>
      <c r="J258" s="89">
        <f t="shared" si="61"/>
        <v>0</v>
      </c>
      <c r="K258" s="87"/>
      <c r="L258" s="87"/>
    </row>
    <row r="259" spans="1:12">
      <c r="A259" s="88" t="str">
        <f t="shared" si="54"/>
        <v>Okra</v>
      </c>
      <c r="B259" s="88" t="s">
        <v>370</v>
      </c>
      <c r="C259" s="229">
        <v>1300</v>
      </c>
      <c r="D259" s="89">
        <f t="shared" si="55"/>
        <v>0</v>
      </c>
      <c r="E259" s="89">
        <f t="shared" si="56"/>
        <v>0</v>
      </c>
      <c r="F259" s="89">
        <f t="shared" si="57"/>
        <v>0</v>
      </c>
      <c r="G259" s="89">
        <f t="shared" si="58"/>
        <v>0</v>
      </c>
      <c r="H259" s="89">
        <f t="shared" si="59"/>
        <v>0</v>
      </c>
      <c r="I259" s="89">
        <f t="shared" si="60"/>
        <v>0</v>
      </c>
      <c r="J259" s="89">
        <f t="shared" si="61"/>
        <v>0</v>
      </c>
      <c r="K259" s="87"/>
      <c r="L259" s="87"/>
    </row>
    <row r="260" spans="1:12">
      <c r="A260" s="88" t="str">
        <f t="shared" si="54"/>
        <v>Chilli</v>
      </c>
      <c r="B260" s="88" t="s">
        <v>370</v>
      </c>
      <c r="C260" s="229">
        <v>2800</v>
      </c>
      <c r="D260" s="89">
        <f t="shared" si="55"/>
        <v>0</v>
      </c>
      <c r="E260" s="89">
        <f t="shared" si="56"/>
        <v>0</v>
      </c>
      <c r="F260" s="89">
        <f t="shared" si="57"/>
        <v>0</v>
      </c>
      <c r="G260" s="89">
        <f t="shared" si="58"/>
        <v>0</v>
      </c>
      <c r="H260" s="89">
        <f t="shared" si="59"/>
        <v>0</v>
      </c>
      <c r="I260" s="89">
        <f t="shared" si="60"/>
        <v>0</v>
      </c>
      <c r="J260" s="89">
        <f t="shared" si="61"/>
        <v>0</v>
      </c>
      <c r="K260" s="87"/>
      <c r="L260" s="87"/>
    </row>
    <row r="261" spans="1:12">
      <c r="A261" s="88" t="str">
        <f t="shared" si="54"/>
        <v>Potato</v>
      </c>
      <c r="B261" s="88" t="s">
        <v>370</v>
      </c>
      <c r="C261" s="229">
        <v>1300</v>
      </c>
      <c r="D261" s="89">
        <f t="shared" si="55"/>
        <v>0</v>
      </c>
      <c r="E261" s="89">
        <f t="shared" si="56"/>
        <v>0</v>
      </c>
      <c r="F261" s="89">
        <f t="shared" si="57"/>
        <v>0</v>
      </c>
      <c r="G261" s="89">
        <f t="shared" si="58"/>
        <v>0</v>
      </c>
      <c r="H261" s="89">
        <f t="shared" si="59"/>
        <v>0</v>
      </c>
      <c r="I261" s="89">
        <f t="shared" si="60"/>
        <v>0</v>
      </c>
      <c r="J261" s="89">
        <f t="shared" si="61"/>
        <v>0</v>
      </c>
      <c r="K261" s="87"/>
      <c r="L261" s="87"/>
    </row>
    <row r="262" spans="1:12">
      <c r="A262" s="88">
        <f t="shared" si="54"/>
        <v>0</v>
      </c>
      <c r="B262" s="88" t="s">
        <v>370</v>
      </c>
      <c r="C262" s="229"/>
      <c r="D262" s="89">
        <f t="shared" si="55"/>
        <v>0</v>
      </c>
      <c r="E262" s="89">
        <f t="shared" si="56"/>
        <v>0</v>
      </c>
      <c r="F262" s="89">
        <f t="shared" si="57"/>
        <v>0</v>
      </c>
      <c r="G262" s="89">
        <f t="shared" si="58"/>
        <v>0</v>
      </c>
      <c r="H262" s="89">
        <f t="shared" si="59"/>
        <v>0</v>
      </c>
      <c r="I262" s="89">
        <f t="shared" si="60"/>
        <v>0</v>
      </c>
      <c r="J262" s="89">
        <f t="shared" si="61"/>
        <v>0</v>
      </c>
      <c r="K262" s="87"/>
      <c r="L262" s="87"/>
    </row>
    <row r="263" spans="1:12">
      <c r="A263" s="88">
        <f t="shared" si="54"/>
        <v>0</v>
      </c>
      <c r="B263" s="88" t="s">
        <v>370</v>
      </c>
      <c r="C263" s="229"/>
      <c r="D263" s="89">
        <f t="shared" si="55"/>
        <v>0</v>
      </c>
      <c r="E263" s="89">
        <f t="shared" si="56"/>
        <v>0</v>
      </c>
      <c r="F263" s="89">
        <f t="shared" si="57"/>
        <v>0</v>
      </c>
      <c r="G263" s="89">
        <f t="shared" si="58"/>
        <v>0</v>
      </c>
      <c r="H263" s="89">
        <f t="shared" si="59"/>
        <v>0</v>
      </c>
      <c r="I263" s="89">
        <f t="shared" si="60"/>
        <v>0</v>
      </c>
      <c r="J263" s="89">
        <f t="shared" si="61"/>
        <v>0</v>
      </c>
      <c r="K263" s="87"/>
      <c r="L263" s="87"/>
    </row>
    <row r="264" spans="1:12">
      <c r="A264" s="88">
        <f t="shared" si="54"/>
        <v>0</v>
      </c>
      <c r="B264" s="88" t="s">
        <v>370</v>
      </c>
      <c r="C264" s="229"/>
      <c r="D264" s="89">
        <f t="shared" si="55"/>
        <v>0</v>
      </c>
      <c r="E264" s="89">
        <f t="shared" si="56"/>
        <v>0</v>
      </c>
      <c r="F264" s="89">
        <f t="shared" si="57"/>
        <v>0</v>
      </c>
      <c r="G264" s="89">
        <f t="shared" si="58"/>
        <v>0</v>
      </c>
      <c r="H264" s="89">
        <f t="shared" si="59"/>
        <v>0</v>
      </c>
      <c r="I264" s="89">
        <f t="shared" si="60"/>
        <v>0</v>
      </c>
      <c r="J264" s="89">
        <f t="shared" si="61"/>
        <v>0</v>
      </c>
      <c r="K264" s="87"/>
      <c r="L264" s="87"/>
    </row>
    <row r="265" spans="1:12">
      <c r="A265" s="88">
        <f t="shared" si="54"/>
        <v>0</v>
      </c>
      <c r="B265" s="88" t="s">
        <v>370</v>
      </c>
      <c r="C265" s="229"/>
      <c r="D265" s="89">
        <f t="shared" si="55"/>
        <v>0</v>
      </c>
      <c r="E265" s="89">
        <f t="shared" si="56"/>
        <v>0</v>
      </c>
      <c r="F265" s="89">
        <f t="shared" si="57"/>
        <v>0</v>
      </c>
      <c r="G265" s="89">
        <f t="shared" si="58"/>
        <v>0</v>
      </c>
      <c r="H265" s="89">
        <f t="shared" si="59"/>
        <v>0</v>
      </c>
      <c r="I265" s="89">
        <f t="shared" si="60"/>
        <v>0</v>
      </c>
      <c r="J265" s="89">
        <f t="shared" si="61"/>
        <v>0</v>
      </c>
      <c r="K265" s="87"/>
      <c r="L265" s="87"/>
    </row>
    <row r="266" spans="1:12">
      <c r="A266" s="88" t="str">
        <f t="shared" si="54"/>
        <v>Onion</v>
      </c>
      <c r="B266" s="88" t="s">
        <v>370</v>
      </c>
      <c r="C266" s="229">
        <v>1800</v>
      </c>
      <c r="D266" s="89">
        <f t="shared" si="55"/>
        <v>0</v>
      </c>
      <c r="E266" s="89">
        <f t="shared" si="56"/>
        <v>0</v>
      </c>
      <c r="F266" s="89">
        <f t="shared" si="57"/>
        <v>0</v>
      </c>
      <c r="G266" s="89">
        <f t="shared" si="58"/>
        <v>0</v>
      </c>
      <c r="H266" s="89">
        <f t="shared" si="59"/>
        <v>0</v>
      </c>
      <c r="I266" s="89">
        <f t="shared" si="60"/>
        <v>0</v>
      </c>
      <c r="J266" s="89">
        <f t="shared" si="61"/>
        <v>0</v>
      </c>
      <c r="K266" s="87"/>
      <c r="L266" s="87"/>
    </row>
    <row r="267" spans="1:12">
      <c r="A267" s="88" t="str">
        <f t="shared" si="54"/>
        <v>Tomato</v>
      </c>
      <c r="B267" s="88" t="s">
        <v>370</v>
      </c>
      <c r="C267" s="229">
        <v>800</v>
      </c>
      <c r="D267" s="89">
        <f t="shared" si="55"/>
        <v>0</v>
      </c>
      <c r="E267" s="89">
        <f t="shared" si="56"/>
        <v>0</v>
      </c>
      <c r="F267" s="89">
        <f t="shared" si="57"/>
        <v>0</v>
      </c>
      <c r="G267" s="89">
        <f t="shared" si="58"/>
        <v>0</v>
      </c>
      <c r="H267" s="89">
        <f t="shared" si="59"/>
        <v>0</v>
      </c>
      <c r="I267" s="89">
        <f t="shared" si="60"/>
        <v>0</v>
      </c>
      <c r="J267" s="89">
        <f t="shared" si="61"/>
        <v>0</v>
      </c>
      <c r="K267" s="87"/>
      <c r="L267" s="87"/>
    </row>
    <row r="268" spans="1:12">
      <c r="A268" s="88" t="str">
        <f t="shared" si="54"/>
        <v>Okra</v>
      </c>
      <c r="B268" s="88" t="s">
        <v>370</v>
      </c>
      <c r="C268" s="229">
        <v>1300</v>
      </c>
      <c r="D268" s="89">
        <f t="shared" si="55"/>
        <v>0</v>
      </c>
      <c r="E268" s="89">
        <f t="shared" si="56"/>
        <v>0</v>
      </c>
      <c r="F268" s="89">
        <f t="shared" si="57"/>
        <v>0</v>
      </c>
      <c r="G268" s="89">
        <f t="shared" si="58"/>
        <v>0</v>
      </c>
      <c r="H268" s="89">
        <f t="shared" si="59"/>
        <v>0</v>
      </c>
      <c r="I268" s="89">
        <f t="shared" si="60"/>
        <v>0</v>
      </c>
      <c r="J268" s="89">
        <f t="shared" si="61"/>
        <v>0</v>
      </c>
      <c r="K268" s="87"/>
      <c r="L268" s="87"/>
    </row>
    <row r="269" spans="1:12">
      <c r="A269" s="88" t="str">
        <f t="shared" si="54"/>
        <v>Chilli</v>
      </c>
      <c r="B269" s="88" t="s">
        <v>370</v>
      </c>
      <c r="C269" s="229">
        <v>2800</v>
      </c>
      <c r="D269" s="89">
        <f t="shared" si="55"/>
        <v>0</v>
      </c>
      <c r="E269" s="89">
        <f t="shared" si="56"/>
        <v>0</v>
      </c>
      <c r="F269" s="89">
        <f t="shared" si="57"/>
        <v>0</v>
      </c>
      <c r="G269" s="89">
        <f t="shared" si="58"/>
        <v>0</v>
      </c>
      <c r="H269" s="89">
        <f t="shared" si="59"/>
        <v>0</v>
      </c>
      <c r="I269" s="89">
        <f t="shared" si="60"/>
        <v>0</v>
      </c>
      <c r="J269" s="89">
        <f t="shared" si="61"/>
        <v>0</v>
      </c>
      <c r="K269" s="87"/>
      <c r="L269" s="87"/>
    </row>
    <row r="270" spans="1:12">
      <c r="A270" s="88" t="str">
        <f t="shared" si="54"/>
        <v>Brinjal</v>
      </c>
      <c r="B270" s="88" t="s">
        <v>370</v>
      </c>
      <c r="C270" s="229">
        <v>1800</v>
      </c>
      <c r="D270" s="89">
        <f t="shared" si="55"/>
        <v>0</v>
      </c>
      <c r="E270" s="89">
        <f t="shared" si="56"/>
        <v>0</v>
      </c>
      <c r="F270" s="89">
        <f t="shared" si="57"/>
        <v>0</v>
      </c>
      <c r="G270" s="89">
        <f t="shared" si="58"/>
        <v>0</v>
      </c>
      <c r="H270" s="89">
        <f t="shared" si="59"/>
        <v>0</v>
      </c>
      <c r="I270" s="89">
        <f t="shared" si="60"/>
        <v>0</v>
      </c>
      <c r="J270" s="89">
        <f t="shared" si="61"/>
        <v>0</v>
      </c>
      <c r="K270" s="87"/>
      <c r="L270" s="87"/>
    </row>
    <row r="271" spans="1:12">
      <c r="A271" s="88">
        <f t="shared" si="54"/>
        <v>0</v>
      </c>
      <c r="B271" s="88" t="s">
        <v>370</v>
      </c>
      <c r="C271" s="229"/>
      <c r="D271" s="89">
        <f t="shared" si="55"/>
        <v>0</v>
      </c>
      <c r="E271" s="89">
        <f t="shared" si="56"/>
        <v>0</v>
      </c>
      <c r="F271" s="89">
        <f t="shared" si="57"/>
        <v>0</v>
      </c>
      <c r="G271" s="89">
        <f t="shared" si="58"/>
        <v>0</v>
      </c>
      <c r="H271" s="89">
        <f t="shared" si="59"/>
        <v>0</v>
      </c>
      <c r="I271" s="89">
        <f t="shared" si="60"/>
        <v>0</v>
      </c>
      <c r="J271" s="89">
        <f t="shared" si="61"/>
        <v>0</v>
      </c>
      <c r="K271" s="87"/>
      <c r="L271" s="87"/>
    </row>
    <row r="272" spans="1:12">
      <c r="A272" s="88">
        <f t="shared" si="54"/>
        <v>0</v>
      </c>
      <c r="B272" s="88" t="s">
        <v>370</v>
      </c>
      <c r="C272" s="229"/>
      <c r="D272" s="89">
        <f t="shared" si="55"/>
        <v>0</v>
      </c>
      <c r="E272" s="89">
        <f t="shared" si="56"/>
        <v>0</v>
      </c>
      <c r="F272" s="89">
        <f t="shared" si="57"/>
        <v>0</v>
      </c>
      <c r="G272" s="89">
        <f t="shared" si="58"/>
        <v>0</v>
      </c>
      <c r="H272" s="89">
        <f t="shared" si="59"/>
        <v>0</v>
      </c>
      <c r="I272" s="89">
        <f t="shared" si="60"/>
        <v>0</v>
      </c>
      <c r="J272" s="89">
        <f t="shared" si="61"/>
        <v>0</v>
      </c>
      <c r="K272" s="87"/>
      <c r="L272" s="87"/>
    </row>
    <row r="273" spans="1:12">
      <c r="A273" s="88">
        <f t="shared" si="54"/>
        <v>0</v>
      </c>
      <c r="B273" s="88" t="s">
        <v>370</v>
      </c>
      <c r="C273" s="229"/>
      <c r="D273" s="89">
        <f t="shared" si="55"/>
        <v>0</v>
      </c>
      <c r="E273" s="89">
        <f t="shared" si="56"/>
        <v>0</v>
      </c>
      <c r="F273" s="89">
        <f t="shared" si="57"/>
        <v>0</v>
      </c>
      <c r="G273" s="89">
        <f t="shared" si="58"/>
        <v>0</v>
      </c>
      <c r="H273" s="89">
        <f t="shared" si="59"/>
        <v>0</v>
      </c>
      <c r="I273" s="89">
        <f t="shared" si="60"/>
        <v>0</v>
      </c>
      <c r="J273" s="89">
        <f t="shared" si="61"/>
        <v>0</v>
      </c>
      <c r="K273" s="87"/>
      <c r="L273" s="87"/>
    </row>
    <row r="274" spans="1:12">
      <c r="A274" s="88">
        <f t="shared" si="54"/>
        <v>0</v>
      </c>
      <c r="B274" s="88" t="s">
        <v>370</v>
      </c>
      <c r="C274" s="229"/>
      <c r="D274" s="89">
        <f t="shared" si="55"/>
        <v>0</v>
      </c>
      <c r="E274" s="89">
        <f t="shared" si="56"/>
        <v>0</v>
      </c>
      <c r="F274" s="89">
        <f t="shared" si="57"/>
        <v>0</v>
      </c>
      <c r="G274" s="89">
        <f t="shared" si="58"/>
        <v>0</v>
      </c>
      <c r="H274" s="89">
        <f t="shared" si="59"/>
        <v>0</v>
      </c>
      <c r="I274" s="89">
        <f t="shared" si="60"/>
        <v>0</v>
      </c>
      <c r="J274" s="89">
        <f t="shared" si="61"/>
        <v>0</v>
      </c>
      <c r="K274" s="87"/>
      <c r="L274" s="87"/>
    </row>
    <row r="275" spans="1:12">
      <c r="A275" s="88" t="str">
        <f>A224</f>
        <v>Pomegranate</v>
      </c>
      <c r="B275" s="88" t="s">
        <v>370</v>
      </c>
      <c r="C275" s="229">
        <v>4700</v>
      </c>
      <c r="D275" s="89">
        <f t="shared" ref="D275:J280" si="62">B113*$C275*D$172</f>
        <v>0</v>
      </c>
      <c r="E275" s="89">
        <f t="shared" si="62"/>
        <v>0</v>
      </c>
      <c r="F275" s="89">
        <f t="shared" si="62"/>
        <v>0</v>
      </c>
      <c r="G275" s="89">
        <f t="shared" si="62"/>
        <v>0</v>
      </c>
      <c r="H275" s="89">
        <f t="shared" si="62"/>
        <v>0</v>
      </c>
      <c r="I275" s="89">
        <f t="shared" si="62"/>
        <v>0</v>
      </c>
      <c r="J275" s="89">
        <f t="shared" si="62"/>
        <v>0</v>
      </c>
      <c r="K275" s="87"/>
      <c r="L275" s="87"/>
    </row>
    <row r="276" spans="1:12">
      <c r="A276" s="88" t="str">
        <f>A225</f>
        <v>Custard Apple</v>
      </c>
      <c r="B276" s="88" t="s">
        <v>370</v>
      </c>
      <c r="C276" s="229"/>
      <c r="D276" s="89">
        <f t="shared" si="62"/>
        <v>0</v>
      </c>
      <c r="E276" s="89">
        <f t="shared" si="62"/>
        <v>0</v>
      </c>
      <c r="F276" s="89">
        <f t="shared" si="62"/>
        <v>0</v>
      </c>
      <c r="G276" s="89">
        <f t="shared" si="62"/>
        <v>0</v>
      </c>
      <c r="H276" s="89">
        <f t="shared" si="62"/>
        <v>0</v>
      </c>
      <c r="I276" s="89">
        <f t="shared" si="62"/>
        <v>0</v>
      </c>
      <c r="J276" s="89">
        <f t="shared" si="62"/>
        <v>0</v>
      </c>
      <c r="K276" s="87"/>
      <c r="L276" s="87"/>
    </row>
    <row r="277" spans="1:12">
      <c r="A277" s="88" t="str">
        <f>A226</f>
        <v>Guava</v>
      </c>
      <c r="B277" s="88" t="s">
        <v>370</v>
      </c>
      <c r="C277" s="229"/>
      <c r="D277" s="89">
        <f t="shared" si="62"/>
        <v>0</v>
      </c>
      <c r="E277" s="89">
        <f t="shared" si="62"/>
        <v>0</v>
      </c>
      <c r="F277" s="89">
        <f t="shared" si="62"/>
        <v>0</v>
      </c>
      <c r="G277" s="89">
        <f t="shared" si="62"/>
        <v>0</v>
      </c>
      <c r="H277" s="89">
        <f t="shared" si="62"/>
        <v>0</v>
      </c>
      <c r="I277" s="89">
        <f t="shared" si="62"/>
        <v>0</v>
      </c>
      <c r="J277" s="89">
        <f t="shared" si="62"/>
        <v>0</v>
      </c>
      <c r="K277" s="87"/>
      <c r="L277" s="87"/>
    </row>
    <row r="278" spans="1:12">
      <c r="A278" s="88" t="str">
        <f>A227</f>
        <v>Citrus</v>
      </c>
      <c r="B278" s="88" t="s">
        <v>370</v>
      </c>
      <c r="C278" s="229"/>
      <c r="D278" s="89">
        <f t="shared" si="62"/>
        <v>0</v>
      </c>
      <c r="E278" s="89">
        <f t="shared" si="62"/>
        <v>0</v>
      </c>
      <c r="F278" s="89">
        <f t="shared" si="62"/>
        <v>0</v>
      </c>
      <c r="G278" s="89">
        <f t="shared" si="62"/>
        <v>0</v>
      </c>
      <c r="H278" s="89">
        <f t="shared" si="62"/>
        <v>0</v>
      </c>
      <c r="I278" s="89">
        <f t="shared" si="62"/>
        <v>0</v>
      </c>
      <c r="J278" s="89">
        <f t="shared" si="62"/>
        <v>0</v>
      </c>
      <c r="K278" s="87"/>
      <c r="L278" s="87"/>
    </row>
    <row r="279" spans="1:12">
      <c r="A279" s="88">
        <f>A228</f>
        <v>0</v>
      </c>
      <c r="B279" s="88" t="s">
        <v>370</v>
      </c>
      <c r="C279" s="229"/>
      <c r="D279" s="89">
        <f t="shared" si="62"/>
        <v>0</v>
      </c>
      <c r="E279" s="89">
        <f t="shared" si="62"/>
        <v>0</v>
      </c>
      <c r="F279" s="89">
        <f t="shared" si="62"/>
        <v>0</v>
      </c>
      <c r="G279" s="89">
        <f t="shared" si="62"/>
        <v>0</v>
      </c>
      <c r="H279" s="89">
        <f t="shared" si="62"/>
        <v>0</v>
      </c>
      <c r="I279" s="89">
        <f t="shared" si="62"/>
        <v>0</v>
      </c>
      <c r="J279" s="89">
        <f t="shared" si="62"/>
        <v>0</v>
      </c>
      <c r="K279" s="87"/>
      <c r="L279" s="87"/>
    </row>
    <row r="280" spans="1:12">
      <c r="A280" s="88">
        <f>A230</f>
        <v>0</v>
      </c>
      <c r="B280" s="88"/>
      <c r="C280" s="229"/>
      <c r="D280" s="89">
        <f t="shared" si="62"/>
        <v>0</v>
      </c>
      <c r="E280" s="89">
        <f t="shared" si="62"/>
        <v>0</v>
      </c>
      <c r="F280" s="89">
        <f t="shared" si="62"/>
        <v>0</v>
      </c>
      <c r="G280" s="89">
        <f t="shared" si="62"/>
        <v>0</v>
      </c>
      <c r="H280" s="89">
        <f t="shared" si="62"/>
        <v>0</v>
      </c>
      <c r="I280" s="89">
        <f t="shared" si="62"/>
        <v>0</v>
      </c>
      <c r="J280" s="89">
        <f t="shared" si="62"/>
        <v>0</v>
      </c>
      <c r="K280" s="87"/>
      <c r="L280" s="87"/>
    </row>
    <row r="281" spans="1:12">
      <c r="A281" s="88"/>
      <c r="B281" s="88"/>
      <c r="C281" s="229"/>
      <c r="D281" s="89"/>
      <c r="E281" s="89"/>
      <c r="F281" s="89"/>
      <c r="G281" s="89"/>
      <c r="H281" s="89"/>
      <c r="I281" s="89"/>
      <c r="J281" s="89"/>
      <c r="K281" s="87"/>
      <c r="L281" s="87"/>
    </row>
    <row r="282" spans="1:12">
      <c r="A282" s="88" t="s">
        <v>317</v>
      </c>
      <c r="B282" s="217">
        <v>5</v>
      </c>
      <c r="C282" s="217">
        <v>300</v>
      </c>
      <c r="D282" s="89">
        <f t="shared" ref="D282:J282" si="63">B10*$B$282*$C$282*D172</f>
        <v>0</v>
      </c>
      <c r="E282" s="89">
        <f t="shared" si="63"/>
        <v>0</v>
      </c>
      <c r="F282" s="89">
        <f t="shared" si="63"/>
        <v>0</v>
      </c>
      <c r="G282" s="89">
        <f t="shared" si="63"/>
        <v>0</v>
      </c>
      <c r="H282" s="89">
        <f t="shared" si="63"/>
        <v>0</v>
      </c>
      <c r="I282" s="89">
        <f t="shared" si="63"/>
        <v>0</v>
      </c>
      <c r="J282" s="89">
        <f t="shared" si="63"/>
        <v>0</v>
      </c>
      <c r="K282" s="87"/>
      <c r="L282" s="87"/>
    </row>
    <row r="283" spans="1:12">
      <c r="A283" s="88" t="s">
        <v>145</v>
      </c>
      <c r="B283" s="88">
        <f>'2.Capex Details'!H82*0.746*8</f>
        <v>0</v>
      </c>
      <c r="C283" s="217">
        <v>8</v>
      </c>
      <c r="D283" s="89">
        <f t="shared" ref="D283:J283" si="64">$B$283*$C$283*D172*B10</f>
        <v>0</v>
      </c>
      <c r="E283" s="89">
        <f t="shared" si="64"/>
        <v>0</v>
      </c>
      <c r="F283" s="89">
        <f t="shared" si="64"/>
        <v>0</v>
      </c>
      <c r="G283" s="89">
        <f t="shared" si="64"/>
        <v>0</v>
      </c>
      <c r="H283" s="89">
        <f t="shared" si="64"/>
        <v>0</v>
      </c>
      <c r="I283" s="89">
        <f t="shared" si="64"/>
        <v>0</v>
      </c>
      <c r="J283" s="89">
        <f t="shared" si="64"/>
        <v>0</v>
      </c>
      <c r="K283" s="87"/>
      <c r="L283" s="87"/>
    </row>
    <row r="284" spans="1:12">
      <c r="A284" s="88" t="s">
        <v>475</v>
      </c>
      <c r="B284" s="88"/>
      <c r="C284" s="217">
        <v>30</v>
      </c>
      <c r="D284" s="89">
        <f t="shared" ref="D284:J284" si="65">SUM(B120:B141)*$C$284*D172</f>
        <v>0</v>
      </c>
      <c r="E284" s="89">
        <f t="shared" si="65"/>
        <v>0</v>
      </c>
      <c r="F284" s="89">
        <f t="shared" si="65"/>
        <v>0</v>
      </c>
      <c r="G284" s="89">
        <f t="shared" si="65"/>
        <v>0</v>
      </c>
      <c r="H284" s="89">
        <f t="shared" si="65"/>
        <v>0</v>
      </c>
      <c r="I284" s="89">
        <f t="shared" si="65"/>
        <v>0</v>
      </c>
      <c r="J284" s="89">
        <f t="shared" si="65"/>
        <v>0</v>
      </c>
      <c r="K284" s="87"/>
      <c r="L284" s="87"/>
    </row>
    <row r="285" spans="1:12">
      <c r="A285" s="88" t="s">
        <v>474</v>
      </c>
      <c r="B285" s="88"/>
      <c r="C285" s="217">
        <v>30</v>
      </c>
      <c r="D285" s="89">
        <f t="shared" ref="D285:J285" si="66">SUM(B120:B141)*$C$285*D172</f>
        <v>0</v>
      </c>
      <c r="E285" s="89">
        <f t="shared" si="66"/>
        <v>0</v>
      </c>
      <c r="F285" s="89">
        <f t="shared" si="66"/>
        <v>0</v>
      </c>
      <c r="G285" s="89">
        <f t="shared" si="66"/>
        <v>0</v>
      </c>
      <c r="H285" s="89">
        <f t="shared" si="66"/>
        <v>0</v>
      </c>
      <c r="I285" s="89">
        <f t="shared" si="66"/>
        <v>0</v>
      </c>
      <c r="J285" s="89">
        <f t="shared" si="66"/>
        <v>0</v>
      </c>
      <c r="K285" s="87"/>
      <c r="L285" s="87"/>
    </row>
    <row r="286" spans="1:12">
      <c r="A286" s="10"/>
      <c r="B286" s="10"/>
      <c r="C286" s="10"/>
      <c r="D286" s="10"/>
      <c r="E286" s="10"/>
      <c r="F286" s="10"/>
      <c r="G286" s="10"/>
      <c r="H286" s="10"/>
      <c r="I286" s="10"/>
      <c r="J286" s="10"/>
      <c r="K286" s="87"/>
      <c r="L286" s="87"/>
    </row>
    <row r="287" spans="1:12">
      <c r="A287" s="10"/>
      <c r="B287" s="10"/>
      <c r="C287" s="10"/>
      <c r="D287" s="10"/>
      <c r="E287" s="10"/>
      <c r="F287" s="10"/>
      <c r="G287" s="10"/>
      <c r="H287" s="10"/>
      <c r="I287" s="10"/>
      <c r="J287" s="10"/>
      <c r="K287" s="87"/>
      <c r="L287" s="87"/>
    </row>
    <row r="288" spans="1:12">
      <c r="A288" s="10"/>
      <c r="B288" s="10"/>
      <c r="C288" s="10"/>
      <c r="D288" s="10"/>
      <c r="E288" s="10"/>
      <c r="F288" s="10"/>
      <c r="G288" s="10"/>
      <c r="H288" s="10"/>
      <c r="I288" s="10"/>
      <c r="J288" s="10"/>
      <c r="K288" s="87"/>
      <c r="L288" s="87"/>
    </row>
    <row r="289" spans="1:20">
      <c r="A289" s="92" t="s">
        <v>349</v>
      </c>
      <c r="B289" s="88"/>
      <c r="C289" s="88"/>
      <c r="D289" s="193"/>
      <c r="E289" s="193">
        <f>'5.Closing Stock &amp; W Capital'!F7</f>
        <v>0</v>
      </c>
      <c r="F289" s="193">
        <f>'5.Closing Stock &amp; W Capital'!G7</f>
        <v>0</v>
      </c>
      <c r="G289" s="193">
        <f>'5.Closing Stock &amp; W Capital'!H7</f>
        <v>0</v>
      </c>
      <c r="H289" s="193">
        <f>'5.Closing Stock &amp; W Capital'!I7</f>
        <v>0</v>
      </c>
      <c r="I289" s="193">
        <f>'5.Closing Stock &amp; W Capital'!J7</f>
        <v>0</v>
      </c>
      <c r="J289" s="193">
        <f>'5.Closing Stock &amp; W Capital'!K7</f>
        <v>0</v>
      </c>
      <c r="K289" s="87"/>
      <c r="L289" s="87"/>
    </row>
    <row r="290" spans="1:20">
      <c r="A290" s="92" t="s">
        <v>350</v>
      </c>
      <c r="B290" s="88"/>
      <c r="C290" s="193"/>
      <c r="D290" s="193">
        <f>'5.Closing Stock &amp; W Capital'!E16</f>
        <v>0</v>
      </c>
      <c r="E290" s="193">
        <f>'5.Closing Stock &amp; W Capital'!F16</f>
        <v>0</v>
      </c>
      <c r="F290" s="193">
        <f>'5.Closing Stock &amp; W Capital'!G16</f>
        <v>0</v>
      </c>
      <c r="G290" s="193">
        <f>'5.Closing Stock &amp; W Capital'!H16</f>
        <v>0</v>
      </c>
      <c r="H290" s="193">
        <f>'5.Closing Stock &amp; W Capital'!I16</f>
        <v>0</v>
      </c>
      <c r="I290" s="193">
        <f>'5.Closing Stock &amp; W Capital'!J16</f>
        <v>0</v>
      </c>
      <c r="J290" s="193">
        <f>'5.Closing Stock &amp; W Capital'!K16</f>
        <v>0</v>
      </c>
      <c r="K290" s="87"/>
      <c r="L290" s="87"/>
    </row>
    <row r="291" spans="1:20">
      <c r="A291" s="92"/>
      <c r="B291" s="88"/>
      <c r="C291" s="196"/>
      <c r="D291" s="193"/>
      <c r="E291" s="193"/>
      <c r="F291" s="193"/>
      <c r="G291" s="193"/>
      <c r="H291" s="193"/>
      <c r="I291" s="193"/>
      <c r="J291" s="193"/>
      <c r="K291" s="87"/>
      <c r="L291" s="87"/>
      <c r="M291" s="87"/>
      <c r="N291" s="87"/>
      <c r="O291" s="87"/>
      <c r="P291" s="87"/>
      <c r="Q291" s="87"/>
      <c r="R291" s="87"/>
      <c r="S291" s="87"/>
      <c r="T291" s="87"/>
    </row>
    <row r="292" spans="1:20">
      <c r="A292" s="90" t="s">
        <v>327</v>
      </c>
      <c r="B292" s="90"/>
      <c r="C292" s="90"/>
      <c r="D292" s="108">
        <f t="shared" ref="D292:J292" si="67">SUM(D233:D289)-D290</f>
        <v>0</v>
      </c>
      <c r="E292" s="108">
        <f t="shared" si="67"/>
        <v>0</v>
      </c>
      <c r="F292" s="108">
        <f t="shared" si="67"/>
        <v>0</v>
      </c>
      <c r="G292" s="108">
        <f t="shared" si="67"/>
        <v>0</v>
      </c>
      <c r="H292" s="108">
        <f t="shared" si="67"/>
        <v>0</v>
      </c>
      <c r="I292" s="108">
        <f t="shared" si="67"/>
        <v>0</v>
      </c>
      <c r="J292" s="108">
        <f t="shared" si="67"/>
        <v>0</v>
      </c>
      <c r="K292" s="87"/>
      <c r="L292" s="87"/>
      <c r="M292" s="87"/>
      <c r="N292" s="87"/>
      <c r="O292" s="87"/>
      <c r="P292" s="87"/>
      <c r="Q292" s="87"/>
      <c r="R292" s="87"/>
      <c r="S292" s="87"/>
      <c r="T292" s="87"/>
    </row>
    <row r="293" spans="1:20">
      <c r="A293" s="90" t="s">
        <v>314</v>
      </c>
      <c r="B293" s="88"/>
      <c r="C293" s="88"/>
      <c r="D293" s="103"/>
      <c r="E293" s="103"/>
      <c r="F293" s="103"/>
      <c r="G293" s="103"/>
      <c r="H293" s="103"/>
      <c r="I293" s="88"/>
      <c r="J293" s="88"/>
      <c r="K293" s="87"/>
      <c r="L293" s="87"/>
      <c r="M293" s="87"/>
      <c r="N293" s="87"/>
      <c r="O293" s="87"/>
      <c r="P293" s="87"/>
      <c r="Q293" s="87"/>
      <c r="R293" s="87"/>
      <c r="S293" s="87"/>
      <c r="T293" s="87"/>
    </row>
    <row r="294" spans="1:20">
      <c r="A294" s="88" t="s">
        <v>190</v>
      </c>
      <c r="B294" s="217">
        <v>1</v>
      </c>
      <c r="C294" s="229"/>
      <c r="D294" s="89">
        <f t="shared" ref="D294:J294" si="68">$B$294*$C$294*12*D172</f>
        <v>0</v>
      </c>
      <c r="E294" s="89">
        <f t="shared" si="68"/>
        <v>0</v>
      </c>
      <c r="F294" s="89">
        <f t="shared" si="68"/>
        <v>0</v>
      </c>
      <c r="G294" s="89">
        <f t="shared" si="68"/>
        <v>0</v>
      </c>
      <c r="H294" s="89">
        <f t="shared" si="68"/>
        <v>0</v>
      </c>
      <c r="I294" s="89">
        <f t="shared" si="68"/>
        <v>0</v>
      </c>
      <c r="J294" s="89">
        <f t="shared" si="68"/>
        <v>0</v>
      </c>
      <c r="K294" s="87"/>
      <c r="L294" s="87"/>
      <c r="M294" s="87"/>
      <c r="N294" s="87"/>
      <c r="O294" s="87"/>
      <c r="P294" s="87"/>
      <c r="Q294" s="87"/>
      <c r="R294" s="87"/>
      <c r="S294" s="87"/>
      <c r="T294" s="87"/>
    </row>
    <row r="295" spans="1:20">
      <c r="A295" s="88"/>
      <c r="B295" s="217"/>
      <c r="C295" s="229"/>
      <c r="D295" s="89"/>
      <c r="E295" s="89"/>
      <c r="F295" s="89"/>
      <c r="G295" s="89"/>
      <c r="H295" s="89"/>
      <c r="I295" s="89"/>
      <c r="J295" s="89"/>
      <c r="K295" s="87"/>
      <c r="L295" s="87"/>
      <c r="M295" s="87"/>
      <c r="N295" s="197"/>
      <c r="O295" s="87"/>
      <c r="P295" s="87"/>
      <c r="Q295" s="87"/>
      <c r="R295" s="87"/>
      <c r="S295" s="87"/>
      <c r="T295" s="87"/>
    </row>
    <row r="296" spans="1:20">
      <c r="A296" s="88"/>
      <c r="B296" s="217"/>
      <c r="C296" s="229"/>
      <c r="D296" s="89"/>
      <c r="E296" s="89"/>
      <c r="F296" s="89"/>
      <c r="G296" s="89"/>
      <c r="H296" s="89"/>
      <c r="I296" s="89"/>
      <c r="J296" s="89"/>
      <c r="K296" s="87"/>
      <c r="L296" s="87"/>
      <c r="M296" s="87"/>
      <c r="N296" s="87"/>
      <c r="O296" s="87"/>
      <c r="P296" s="87"/>
      <c r="Q296" s="87"/>
      <c r="R296" s="87"/>
      <c r="S296" s="87"/>
      <c r="T296" s="87"/>
    </row>
    <row r="297" spans="1:20">
      <c r="A297" s="88"/>
      <c r="B297" s="217"/>
      <c r="C297" s="229"/>
      <c r="D297" s="89"/>
      <c r="E297" s="89"/>
      <c r="F297" s="89"/>
      <c r="G297" s="89"/>
      <c r="H297" s="89"/>
      <c r="I297" s="89"/>
      <c r="J297" s="89"/>
      <c r="K297" s="87"/>
      <c r="L297" s="87"/>
      <c r="M297" s="87"/>
      <c r="N297" s="87"/>
      <c r="O297" s="87"/>
      <c r="P297" s="87"/>
      <c r="Q297" s="87"/>
      <c r="R297" s="87"/>
      <c r="S297" s="87"/>
      <c r="T297" s="87"/>
    </row>
    <row r="298" spans="1:20">
      <c r="A298" s="88"/>
      <c r="B298" s="217"/>
      <c r="C298" s="229"/>
      <c r="D298" s="89"/>
      <c r="E298" s="89"/>
      <c r="F298" s="89"/>
      <c r="G298" s="89"/>
      <c r="H298" s="89"/>
      <c r="I298" s="89"/>
      <c r="J298" s="89"/>
      <c r="K298" s="87"/>
      <c r="L298" s="87"/>
      <c r="M298" s="87"/>
      <c r="N298" s="87"/>
      <c r="O298" s="87"/>
      <c r="P298" s="87"/>
      <c r="Q298" s="87"/>
      <c r="R298" s="87"/>
      <c r="S298" s="87"/>
      <c r="T298" s="87"/>
    </row>
    <row r="299" spans="1:20">
      <c r="A299" s="88"/>
      <c r="B299" s="217"/>
      <c r="C299" s="229"/>
      <c r="D299" s="89"/>
      <c r="E299" s="89"/>
      <c r="F299" s="89"/>
      <c r="G299" s="89"/>
      <c r="H299" s="89"/>
      <c r="I299" s="89"/>
      <c r="J299" s="89"/>
      <c r="K299" s="87"/>
      <c r="L299" s="87"/>
      <c r="M299" s="87"/>
      <c r="N299" s="87"/>
      <c r="O299" s="87"/>
      <c r="P299" s="87"/>
      <c r="Q299" s="87"/>
      <c r="R299" s="87"/>
      <c r="S299" s="87"/>
      <c r="T299" s="87"/>
    </row>
    <row r="300" spans="1:20">
      <c r="A300" s="88"/>
      <c r="B300" s="217"/>
      <c r="C300" s="229"/>
      <c r="D300" s="89"/>
      <c r="E300" s="89"/>
      <c r="F300" s="89"/>
      <c r="G300" s="89"/>
      <c r="H300" s="89"/>
      <c r="I300" s="89"/>
      <c r="J300" s="89"/>
      <c r="K300" s="87"/>
      <c r="L300" s="87"/>
      <c r="M300" s="87"/>
      <c r="N300" s="87"/>
      <c r="O300" s="87"/>
      <c r="P300" s="87"/>
      <c r="Q300" s="87"/>
      <c r="R300" s="87"/>
      <c r="S300" s="87"/>
      <c r="T300" s="87"/>
    </row>
    <row r="301" spans="1:20">
      <c r="A301" s="90" t="s">
        <v>331</v>
      </c>
      <c r="B301" s="219"/>
      <c r="C301" s="219"/>
      <c r="D301" s="108">
        <f t="shared" ref="D301:J301" si="69">SUM(D294:D300)</f>
        <v>0</v>
      </c>
      <c r="E301" s="108">
        <f t="shared" si="69"/>
        <v>0</v>
      </c>
      <c r="F301" s="108">
        <f t="shared" si="69"/>
        <v>0</v>
      </c>
      <c r="G301" s="108">
        <f t="shared" si="69"/>
        <v>0</v>
      </c>
      <c r="H301" s="108">
        <f t="shared" si="69"/>
        <v>0</v>
      </c>
      <c r="I301" s="108">
        <f t="shared" si="69"/>
        <v>0</v>
      </c>
      <c r="J301" s="108">
        <f t="shared" si="69"/>
        <v>0</v>
      </c>
      <c r="K301" s="87"/>
      <c r="L301" s="87"/>
      <c r="M301" s="87"/>
      <c r="N301" s="197"/>
      <c r="O301" s="87"/>
      <c r="P301" s="87"/>
      <c r="Q301" s="87"/>
      <c r="R301" s="87"/>
      <c r="S301" s="87"/>
      <c r="T301" s="87"/>
    </row>
    <row r="302" spans="1:20">
      <c r="A302" s="90" t="s">
        <v>130</v>
      </c>
      <c r="B302" s="90"/>
      <c r="C302" s="90"/>
      <c r="D302" s="108">
        <f t="shared" ref="D302:J302" si="70">D292+D301</f>
        <v>0</v>
      </c>
      <c r="E302" s="108">
        <f t="shared" si="70"/>
        <v>0</v>
      </c>
      <c r="F302" s="108">
        <f t="shared" si="70"/>
        <v>0</v>
      </c>
      <c r="G302" s="108">
        <f t="shared" si="70"/>
        <v>0</v>
      </c>
      <c r="H302" s="108">
        <f t="shared" si="70"/>
        <v>0</v>
      </c>
      <c r="I302" s="108">
        <f t="shared" si="70"/>
        <v>0</v>
      </c>
      <c r="J302" s="108">
        <f t="shared" si="70"/>
        <v>0</v>
      </c>
      <c r="K302" s="87"/>
      <c r="L302" s="87"/>
      <c r="M302" s="87"/>
      <c r="N302" s="87"/>
      <c r="O302" s="87"/>
      <c r="P302" s="87"/>
      <c r="Q302" s="87"/>
      <c r="R302" s="87"/>
      <c r="S302" s="87"/>
      <c r="T302" s="87"/>
    </row>
    <row r="303" spans="1:20">
      <c r="A303" s="88"/>
      <c r="B303" s="88"/>
      <c r="C303" s="88"/>
      <c r="D303" s="103"/>
      <c r="E303" s="103"/>
      <c r="F303" s="103"/>
      <c r="G303" s="103"/>
      <c r="H303" s="103"/>
      <c r="I303" s="88"/>
      <c r="J303" s="88"/>
      <c r="K303" s="87"/>
      <c r="L303" s="87"/>
      <c r="M303" s="87"/>
      <c r="N303" s="87"/>
      <c r="O303" s="87"/>
      <c r="P303" s="87"/>
      <c r="Q303" s="87"/>
      <c r="R303" s="87"/>
      <c r="S303" s="87"/>
      <c r="T303" s="87"/>
    </row>
    <row r="304" spans="1:20">
      <c r="A304" s="90"/>
      <c r="B304" s="90"/>
      <c r="C304" s="90"/>
      <c r="D304" s="103"/>
      <c r="E304" s="103"/>
      <c r="F304" s="103"/>
      <c r="G304" s="103"/>
      <c r="H304" s="103"/>
      <c r="I304" s="88"/>
      <c r="J304" s="88"/>
      <c r="K304" s="87"/>
      <c r="L304" s="87"/>
      <c r="M304" s="87"/>
      <c r="N304" s="87"/>
      <c r="O304" s="87"/>
      <c r="P304" s="87"/>
      <c r="Q304" s="87"/>
      <c r="R304" s="87"/>
      <c r="S304" s="87"/>
      <c r="T304" s="87"/>
    </row>
    <row r="305" spans="1:20">
      <c r="A305" s="90" t="s">
        <v>319</v>
      </c>
      <c r="B305" s="90"/>
      <c r="C305" s="90"/>
      <c r="D305" s="108">
        <f t="shared" ref="D305:J305" si="71">D229-D302</f>
        <v>0</v>
      </c>
      <c r="E305" s="108">
        <f t="shared" si="71"/>
        <v>0</v>
      </c>
      <c r="F305" s="108">
        <f t="shared" si="71"/>
        <v>0</v>
      </c>
      <c r="G305" s="108">
        <f t="shared" si="71"/>
        <v>0</v>
      </c>
      <c r="H305" s="108">
        <f t="shared" si="71"/>
        <v>0</v>
      </c>
      <c r="I305" s="108">
        <f t="shared" si="71"/>
        <v>0</v>
      </c>
      <c r="J305" s="108">
        <f t="shared" si="71"/>
        <v>0</v>
      </c>
      <c r="K305" s="87"/>
      <c r="L305" s="87"/>
      <c r="M305" s="87"/>
      <c r="N305" s="87"/>
      <c r="O305" s="87"/>
      <c r="P305" s="87"/>
      <c r="Q305" s="87"/>
      <c r="R305" s="87"/>
      <c r="S305" s="87"/>
      <c r="T305" s="87"/>
    </row>
    <row r="306" spans="1:20">
      <c r="A306" s="87"/>
      <c r="B306" s="87"/>
      <c r="C306" s="87"/>
      <c r="D306" s="87"/>
      <c r="E306" s="87"/>
      <c r="F306" s="87"/>
      <c r="G306" s="87"/>
      <c r="H306" s="87"/>
      <c r="I306" s="87"/>
      <c r="J306" s="87"/>
    </row>
    <row r="307" spans="1:20">
      <c r="A307" s="87" t="s">
        <v>51</v>
      </c>
      <c r="B307" s="87"/>
      <c r="C307" s="87"/>
      <c r="D307" s="87"/>
      <c r="E307" s="87"/>
      <c r="F307" s="87"/>
      <c r="G307" s="87"/>
      <c r="H307" s="87"/>
      <c r="I307" s="87"/>
      <c r="J307" s="87"/>
    </row>
    <row r="308" spans="1:20">
      <c r="A308" s="417" t="s">
        <v>433</v>
      </c>
      <c r="B308" s="417"/>
      <c r="C308" s="417"/>
      <c r="D308" s="417"/>
      <c r="E308" s="417"/>
      <c r="F308" s="417"/>
      <c r="G308" s="417"/>
      <c r="H308" s="417"/>
      <c r="I308" s="417"/>
      <c r="J308" s="417"/>
    </row>
    <row r="310" spans="1:20">
      <c r="A310" t="s">
        <v>555</v>
      </c>
    </row>
    <row r="311" spans="1:20">
      <c r="A311">
        <v>1</v>
      </c>
      <c r="B311" t="s">
        <v>568</v>
      </c>
    </row>
    <row r="312" spans="1:20">
      <c r="A312">
        <v>2</v>
      </c>
      <c r="B312" t="s">
        <v>569</v>
      </c>
    </row>
    <row r="313" spans="1:20">
      <c r="A313">
        <v>3</v>
      </c>
      <c r="B313" s="87" t="s">
        <v>621</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A157" zoomScale="93" zoomScaleNormal="100" zoomScaleSheetLayoutView="93" workbookViewId="0">
      <selection activeCell="C160" sqref="C160"/>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s>
  <sheetData>
    <row r="3" spans="1:8" ht="17.5">
      <c r="A3" s="416" t="s">
        <v>605</v>
      </c>
      <c r="B3" s="416"/>
      <c r="C3" s="416"/>
      <c r="D3" s="416"/>
      <c r="E3" s="416"/>
      <c r="F3" s="416"/>
      <c r="G3" s="416"/>
      <c r="H3" s="416"/>
    </row>
    <row r="4" spans="1:8" ht="17.5">
      <c r="A4" s="416" t="s">
        <v>606</v>
      </c>
      <c r="B4" s="416"/>
      <c r="C4" s="416"/>
      <c r="D4" s="416"/>
      <c r="E4" s="416"/>
      <c r="F4" s="416"/>
      <c r="G4" s="416"/>
      <c r="H4" s="416"/>
    </row>
    <row r="5" spans="1:8">
      <c r="A5" s="87" t="s">
        <v>163</v>
      </c>
      <c r="B5" s="222">
        <v>11</v>
      </c>
      <c r="C5" s="87" t="s">
        <v>485</v>
      </c>
      <c r="D5" s="87"/>
      <c r="E5" s="87"/>
      <c r="F5" s="87"/>
      <c r="G5" s="87"/>
      <c r="H5" s="87"/>
    </row>
    <row r="6" spans="1:8">
      <c r="A6" s="87" t="s">
        <v>164</v>
      </c>
      <c r="B6" s="250">
        <v>8</v>
      </c>
      <c r="C6" s="87"/>
      <c r="D6" s="87"/>
      <c r="E6" s="87"/>
      <c r="F6" s="87"/>
      <c r="G6" s="87"/>
      <c r="H6" s="87"/>
    </row>
    <row r="7" spans="1:8">
      <c r="A7" s="87"/>
      <c r="B7" s="250"/>
      <c r="C7" s="87"/>
      <c r="D7" s="87"/>
      <c r="E7" s="87"/>
      <c r="F7" s="87"/>
      <c r="G7" s="87"/>
      <c r="H7" s="87"/>
    </row>
    <row r="8" spans="1:8">
      <c r="A8" s="87"/>
      <c r="B8" s="250"/>
      <c r="C8" s="87"/>
      <c r="D8" s="87"/>
      <c r="E8" s="87"/>
      <c r="F8" s="87"/>
      <c r="G8" s="87"/>
      <c r="H8" s="87"/>
    </row>
    <row r="9" spans="1:8">
      <c r="A9" s="87"/>
      <c r="B9" s="87"/>
      <c r="C9" s="87"/>
      <c r="D9" s="87"/>
      <c r="E9" s="87"/>
      <c r="F9" s="87"/>
      <c r="G9" s="87"/>
      <c r="H9" s="87"/>
    </row>
    <row r="10" spans="1:8">
      <c r="A10" s="87"/>
      <c r="B10" s="87"/>
      <c r="C10" s="87"/>
      <c r="D10" s="87"/>
      <c r="E10" s="87"/>
      <c r="F10" s="87"/>
      <c r="G10" s="87"/>
      <c r="H10" s="87"/>
    </row>
    <row r="11" spans="1:8">
      <c r="A11" s="75" t="s">
        <v>0</v>
      </c>
      <c r="B11" s="76" t="s">
        <v>2</v>
      </c>
      <c r="C11" s="76" t="s">
        <v>3</v>
      </c>
      <c r="D11" s="76" t="s">
        <v>4</v>
      </c>
      <c r="E11" s="76" t="s">
        <v>5</v>
      </c>
      <c r="F11" s="76" t="s">
        <v>6</v>
      </c>
      <c r="G11" s="76" t="s">
        <v>171</v>
      </c>
      <c r="H11" s="76" t="s">
        <v>170</v>
      </c>
    </row>
    <row r="12" spans="1:8">
      <c r="A12" s="88" t="s">
        <v>172</v>
      </c>
      <c r="B12" s="284">
        <f>B32/($B$5*$B$6)</f>
        <v>213.39659090909089</v>
      </c>
      <c r="C12" s="284">
        <f t="shared" ref="C12:H12" si="0">C32/($B$5*$B$6)</f>
        <v>219.49363636363634</v>
      </c>
      <c r="D12" s="284">
        <f t="shared" si="0"/>
        <v>225.59068181818176</v>
      </c>
      <c r="E12" s="284">
        <f t="shared" si="0"/>
        <v>231.68772727272727</v>
      </c>
      <c r="F12" s="284">
        <f t="shared" si="0"/>
        <v>237.7847727272727</v>
      </c>
      <c r="G12" s="284">
        <f t="shared" si="0"/>
        <v>243.88181818181818</v>
      </c>
      <c r="H12" s="284">
        <f t="shared" si="0"/>
        <v>249.9788636363636</v>
      </c>
    </row>
    <row r="13" spans="1:8">
      <c r="A13" s="88" t="str">
        <f>'10.Grain Production details'!A67</f>
        <v>Soybean</v>
      </c>
      <c r="B13" s="88">
        <f>'10.Grain Production details'!B67</f>
        <v>0</v>
      </c>
      <c r="C13" s="88">
        <f>'10.Grain Production details'!C67</f>
        <v>0</v>
      </c>
      <c r="D13" s="88">
        <f>'10.Grain Production details'!D67</f>
        <v>0</v>
      </c>
      <c r="E13" s="88">
        <f>'10.Grain Production details'!E67</f>
        <v>0</v>
      </c>
      <c r="F13" s="88">
        <f>'10.Grain Production details'!F67</f>
        <v>0</v>
      </c>
      <c r="G13" s="88">
        <f>'10.Grain Production details'!G67</f>
        <v>0</v>
      </c>
      <c r="H13" s="88">
        <f>'10.Grain Production details'!H67</f>
        <v>0</v>
      </c>
    </row>
    <row r="14" spans="1:8">
      <c r="A14" s="88" t="str">
        <f>'10.Grain Production details'!A68</f>
        <v>Red Gram/Tur</v>
      </c>
      <c r="B14" s="88">
        <f>'10.Grain Production details'!B68</f>
        <v>7297.4999999999991</v>
      </c>
      <c r="C14" s="88">
        <f>'10.Grain Production details'!C68</f>
        <v>7506</v>
      </c>
      <c r="D14" s="88">
        <f>'10.Grain Production details'!D68</f>
        <v>7714.5</v>
      </c>
      <c r="E14" s="88">
        <f>'10.Grain Production details'!E68</f>
        <v>7923</v>
      </c>
      <c r="F14" s="88">
        <f>'10.Grain Production details'!F68</f>
        <v>8131.5</v>
      </c>
      <c r="G14" s="88">
        <f>'10.Grain Production details'!G68</f>
        <v>8340</v>
      </c>
      <c r="H14" s="88">
        <f>'10.Grain Production details'!H68</f>
        <v>8548.5</v>
      </c>
    </row>
    <row r="15" spans="1:8">
      <c r="A15" s="88" t="str">
        <f>'10.Grain Production details'!A69</f>
        <v>Paddy/Rice</v>
      </c>
      <c r="B15" s="88">
        <f>'10.Grain Production details'!B69</f>
        <v>0</v>
      </c>
      <c r="C15" s="88">
        <f>'10.Grain Production details'!C69</f>
        <v>0</v>
      </c>
      <c r="D15" s="88">
        <f>'10.Grain Production details'!D69</f>
        <v>0</v>
      </c>
      <c r="E15" s="88">
        <f>'10.Grain Production details'!E69</f>
        <v>0</v>
      </c>
      <c r="F15" s="88">
        <f>'10.Grain Production details'!F69</f>
        <v>0</v>
      </c>
      <c r="G15" s="88">
        <f>'10.Grain Production details'!G69</f>
        <v>0</v>
      </c>
      <c r="H15" s="88">
        <f>'10.Grain Production details'!H69</f>
        <v>0</v>
      </c>
    </row>
    <row r="16" spans="1:8">
      <c r="A16" s="88" t="str">
        <f>'10.Grain Production details'!A70</f>
        <v>Green Gram/ Moong</v>
      </c>
      <c r="B16" s="88">
        <f>'10.Grain Production details'!B70</f>
        <v>1167.5999999999999</v>
      </c>
      <c r="C16" s="88">
        <f>'10.Grain Production details'!C70</f>
        <v>1200.96</v>
      </c>
      <c r="D16" s="88">
        <f>'10.Grain Production details'!D70</f>
        <v>1234.32</v>
      </c>
      <c r="E16" s="88">
        <f>'10.Grain Production details'!E70</f>
        <v>1267.68</v>
      </c>
      <c r="F16" s="88">
        <f>'10.Grain Production details'!F70</f>
        <v>1301.04</v>
      </c>
      <c r="G16" s="88">
        <f>'10.Grain Production details'!G70</f>
        <v>1334.4</v>
      </c>
      <c r="H16" s="88">
        <f>'10.Grain Production details'!H70</f>
        <v>1367.76</v>
      </c>
    </row>
    <row r="17" spans="1:8">
      <c r="A17" s="88" t="str">
        <f>'10.Grain Production details'!A71</f>
        <v>Maize</v>
      </c>
      <c r="B17" s="88">
        <f>'10.Grain Production details'!B71</f>
        <v>0</v>
      </c>
      <c r="C17" s="88">
        <f>'10.Grain Production details'!C71</f>
        <v>0</v>
      </c>
      <c r="D17" s="88">
        <f>'10.Grain Production details'!D71</f>
        <v>0</v>
      </c>
      <c r="E17" s="88">
        <f>'10.Grain Production details'!E71</f>
        <v>0</v>
      </c>
      <c r="F17" s="88">
        <f>'10.Grain Production details'!F71</f>
        <v>0</v>
      </c>
      <c r="G17" s="88">
        <f>'10.Grain Production details'!G71</f>
        <v>0</v>
      </c>
      <c r="H17" s="88">
        <f>'10.Grain Production details'!H71</f>
        <v>0</v>
      </c>
    </row>
    <row r="18" spans="1:8">
      <c r="A18" s="88" t="str">
        <f>'10.Grain Production details'!A72</f>
        <v>Black Gram/Udid</v>
      </c>
      <c r="B18" s="88">
        <f>'10.Grain Production details'!B72</f>
        <v>1459.5</v>
      </c>
      <c r="C18" s="88">
        <f>'10.Grain Production details'!C72</f>
        <v>1501.2</v>
      </c>
      <c r="D18" s="88">
        <f>'10.Grain Production details'!D72</f>
        <v>1542.9</v>
      </c>
      <c r="E18" s="88">
        <f>'10.Grain Production details'!E72</f>
        <v>1584.6</v>
      </c>
      <c r="F18" s="88">
        <f>'10.Grain Production details'!F72</f>
        <v>1626.3</v>
      </c>
      <c r="G18" s="88">
        <f>'10.Grain Production details'!G72</f>
        <v>1668</v>
      </c>
      <c r="H18" s="88">
        <f>'10.Grain Production details'!H72</f>
        <v>1709.6999999999998</v>
      </c>
    </row>
    <row r="19" spans="1:8">
      <c r="A19" s="88" t="str">
        <f>'10.Grain Production details'!A73</f>
        <v>Bajra</v>
      </c>
      <c r="B19" s="88">
        <f>'10.Grain Production details'!B73</f>
        <v>0</v>
      </c>
      <c r="C19" s="88">
        <f>'10.Grain Production details'!C73</f>
        <v>0</v>
      </c>
      <c r="D19" s="88">
        <f>'10.Grain Production details'!D73</f>
        <v>0</v>
      </c>
      <c r="E19" s="88">
        <f>'10.Grain Production details'!E73</f>
        <v>0</v>
      </c>
      <c r="F19" s="88">
        <f>'10.Grain Production details'!F73</f>
        <v>0</v>
      </c>
      <c r="G19" s="88">
        <f>'10.Grain Production details'!G73</f>
        <v>0</v>
      </c>
      <c r="H19" s="88">
        <f>'10.Grain Production details'!H73</f>
        <v>0</v>
      </c>
    </row>
    <row r="20" spans="1:8">
      <c r="A20" s="88" t="str">
        <f>'10.Grain Production details'!A74</f>
        <v>Bengal Gram/Channa</v>
      </c>
      <c r="B20" s="88">
        <f>'10.Grain Production details'!B74</f>
        <v>4378.5</v>
      </c>
      <c r="C20" s="88">
        <f>'10.Grain Production details'!C74</f>
        <v>4503.5999999999995</v>
      </c>
      <c r="D20" s="88">
        <f>'10.Grain Production details'!D74</f>
        <v>4628.6999999999989</v>
      </c>
      <c r="E20" s="88">
        <f>'10.Grain Production details'!E74</f>
        <v>4753.7999999999984</v>
      </c>
      <c r="F20" s="88">
        <f>'10.Grain Production details'!F74</f>
        <v>4878.8999999999987</v>
      </c>
      <c r="G20" s="88">
        <f>'10.Grain Production details'!G74</f>
        <v>5003.9999999999991</v>
      </c>
      <c r="H20" s="88">
        <f>'10.Grain Production details'!H74</f>
        <v>5129.0999999999985</v>
      </c>
    </row>
    <row r="21" spans="1:8">
      <c r="A21" s="88" t="str">
        <f>'10.Grain Production details'!A75</f>
        <v>Sunflower</v>
      </c>
      <c r="B21" s="88">
        <f>'10.Grain Production details'!B75</f>
        <v>0</v>
      </c>
      <c r="C21" s="88">
        <f>'10.Grain Production details'!C75</f>
        <v>0</v>
      </c>
      <c r="D21" s="88">
        <f>'10.Grain Production details'!D75</f>
        <v>0</v>
      </c>
      <c r="E21" s="88">
        <f>'10.Grain Production details'!E75</f>
        <v>0</v>
      </c>
      <c r="F21" s="88">
        <f>'10.Grain Production details'!F75</f>
        <v>0</v>
      </c>
      <c r="G21" s="88">
        <f>'10.Grain Production details'!G75</f>
        <v>0</v>
      </c>
      <c r="H21" s="88">
        <f>'10.Grain Production details'!H75</f>
        <v>0</v>
      </c>
    </row>
    <row r="22" spans="1:8">
      <c r="A22" s="88" t="str">
        <f>'10.Grain Production details'!A76</f>
        <v>Wheat</v>
      </c>
      <c r="B22" s="88">
        <f>'10.Grain Production details'!B76</f>
        <v>0</v>
      </c>
      <c r="C22" s="88">
        <f>'10.Grain Production details'!C76</f>
        <v>0</v>
      </c>
      <c r="D22" s="88">
        <f>'10.Grain Production details'!D76</f>
        <v>0</v>
      </c>
      <c r="E22" s="88">
        <f>'10.Grain Production details'!E76</f>
        <v>0</v>
      </c>
      <c r="F22" s="88">
        <f>'10.Grain Production details'!F76</f>
        <v>0</v>
      </c>
      <c r="G22" s="88">
        <f>'10.Grain Production details'!G76</f>
        <v>0</v>
      </c>
      <c r="H22" s="88">
        <f>'10.Grain Production details'!H76</f>
        <v>0</v>
      </c>
    </row>
    <row r="23" spans="1:8">
      <c r="A23" s="88" t="str">
        <f>'10.Grain Production details'!A77</f>
        <v>Bengal Gram/Channa</v>
      </c>
      <c r="B23" s="88">
        <f>'10.Grain Production details'!B77</f>
        <v>3502.7999999999997</v>
      </c>
      <c r="C23" s="88">
        <f>'10.Grain Production details'!C77</f>
        <v>3602.8799999999997</v>
      </c>
      <c r="D23" s="88">
        <f>'10.Grain Production details'!D77</f>
        <v>3702.96</v>
      </c>
      <c r="E23" s="88">
        <f>'10.Grain Production details'!E77</f>
        <v>3803.04</v>
      </c>
      <c r="F23" s="88">
        <f>'10.Grain Production details'!F77</f>
        <v>3903.1200000000003</v>
      </c>
      <c r="G23" s="88">
        <f>'10.Grain Production details'!G77</f>
        <v>4003.2000000000003</v>
      </c>
      <c r="H23" s="88">
        <f>'10.Grain Production details'!H77</f>
        <v>4103.28</v>
      </c>
    </row>
    <row r="24" spans="1:8">
      <c r="A24" s="88" t="str">
        <f>'10.Grain Production details'!A78</f>
        <v>Jawar</v>
      </c>
      <c r="B24" s="88">
        <f>'10.Grain Production details'!B78</f>
        <v>0</v>
      </c>
      <c r="C24" s="88">
        <f>'10.Grain Production details'!C78</f>
        <v>0</v>
      </c>
      <c r="D24" s="88">
        <f>'10.Grain Production details'!D78</f>
        <v>0</v>
      </c>
      <c r="E24" s="88">
        <f>'10.Grain Production details'!E78</f>
        <v>0</v>
      </c>
      <c r="F24" s="88">
        <f>'10.Grain Production details'!F78</f>
        <v>0</v>
      </c>
      <c r="G24" s="88">
        <f>'10.Grain Production details'!G78</f>
        <v>0</v>
      </c>
      <c r="H24" s="88">
        <f>'10.Grain Production details'!H78</f>
        <v>0</v>
      </c>
    </row>
    <row r="25" spans="1:8">
      <c r="A25" s="88" t="str">
        <f>'10.Grain Production details'!A79</f>
        <v>Maize</v>
      </c>
      <c r="B25" s="88">
        <f>'10.Grain Production details'!B79</f>
        <v>0</v>
      </c>
      <c r="C25" s="88">
        <f>'10.Grain Production details'!C79</f>
        <v>0</v>
      </c>
      <c r="D25" s="88">
        <f>'10.Grain Production details'!D79</f>
        <v>0</v>
      </c>
      <c r="E25" s="88">
        <f>'10.Grain Production details'!E79</f>
        <v>0</v>
      </c>
      <c r="F25" s="88">
        <f>'10.Grain Production details'!F79</f>
        <v>0</v>
      </c>
      <c r="G25" s="88">
        <f>'10.Grain Production details'!G79</f>
        <v>0</v>
      </c>
      <c r="H25" s="88">
        <f>'10.Grain Production details'!H79</f>
        <v>0</v>
      </c>
    </row>
    <row r="26" spans="1:8">
      <c r="A26" s="88" t="str">
        <f>'10.Grain Production details'!A80</f>
        <v>Safflower</v>
      </c>
      <c r="B26" s="88">
        <f>'10.Grain Production details'!B80</f>
        <v>0</v>
      </c>
      <c r="C26" s="88">
        <f>'10.Grain Production details'!C80</f>
        <v>0</v>
      </c>
      <c r="D26" s="88">
        <f>'10.Grain Production details'!D80</f>
        <v>0</v>
      </c>
      <c r="E26" s="88">
        <f>'10.Grain Production details'!E80</f>
        <v>0</v>
      </c>
      <c r="F26" s="88">
        <f>'10.Grain Production details'!F80</f>
        <v>0</v>
      </c>
      <c r="G26" s="88">
        <f>'10.Grain Production details'!G80</f>
        <v>0</v>
      </c>
      <c r="H26" s="88">
        <f>'10.Grain Production details'!H80</f>
        <v>0</v>
      </c>
    </row>
    <row r="27" spans="1:8">
      <c r="A27" s="88">
        <f>'10.Grain Production details'!A81</f>
        <v>0</v>
      </c>
      <c r="B27" s="88">
        <f>'10.Grain Production details'!B81</f>
        <v>0</v>
      </c>
      <c r="C27" s="88">
        <f>'10.Grain Production details'!C81</f>
        <v>0</v>
      </c>
      <c r="D27" s="88">
        <f>'10.Grain Production details'!D81</f>
        <v>0</v>
      </c>
      <c r="E27" s="88">
        <f>'10.Grain Production details'!E81</f>
        <v>0</v>
      </c>
      <c r="F27" s="88">
        <f>'10.Grain Production details'!F81</f>
        <v>0</v>
      </c>
      <c r="G27" s="88">
        <f>'10.Grain Production details'!G81</f>
        <v>0</v>
      </c>
      <c r="H27" s="88">
        <f>'10.Grain Production details'!H81</f>
        <v>0</v>
      </c>
    </row>
    <row r="28" spans="1:8">
      <c r="A28" s="88">
        <f>'10.Grain Production details'!A82</f>
        <v>0</v>
      </c>
      <c r="B28" s="88">
        <f>'10.Grain Production details'!B82</f>
        <v>0</v>
      </c>
      <c r="C28" s="88">
        <f>'10.Grain Production details'!C82</f>
        <v>0</v>
      </c>
      <c r="D28" s="88">
        <f>'10.Grain Production details'!D82</f>
        <v>0</v>
      </c>
      <c r="E28" s="88">
        <f>'10.Grain Production details'!E82</f>
        <v>0</v>
      </c>
      <c r="F28" s="88">
        <f>'10.Grain Production details'!F82</f>
        <v>0</v>
      </c>
      <c r="G28" s="88">
        <f>'10.Grain Production details'!G82</f>
        <v>0</v>
      </c>
      <c r="H28" s="88">
        <f>'10.Grain Production details'!H82</f>
        <v>0</v>
      </c>
    </row>
    <row r="29" spans="1:8">
      <c r="A29" s="88">
        <f>'10.Grain Production details'!A83</f>
        <v>0</v>
      </c>
      <c r="B29" s="88">
        <f>'10.Grain Production details'!B83</f>
        <v>0</v>
      </c>
      <c r="C29" s="88">
        <f>'10.Grain Production details'!C83</f>
        <v>0</v>
      </c>
      <c r="D29" s="88">
        <f>'10.Grain Production details'!D83</f>
        <v>0</v>
      </c>
      <c r="E29" s="88">
        <f>'10.Grain Production details'!E83</f>
        <v>0</v>
      </c>
      <c r="F29" s="88">
        <f>'10.Grain Production details'!F83</f>
        <v>0</v>
      </c>
      <c r="G29" s="88">
        <f>'10.Grain Production details'!G83</f>
        <v>0</v>
      </c>
      <c r="H29" s="88">
        <f>'10.Grain Production details'!H83</f>
        <v>0</v>
      </c>
    </row>
    <row r="30" spans="1:8">
      <c r="A30" s="88" t="str">
        <f>'10.Grain Production details'!A84</f>
        <v>Groundnut</v>
      </c>
      <c r="B30" s="88">
        <f>'10.Grain Production details'!B84</f>
        <v>0</v>
      </c>
      <c r="C30" s="88">
        <f>'10.Grain Production details'!C84</f>
        <v>0</v>
      </c>
      <c r="D30" s="88">
        <f>'10.Grain Production details'!D84</f>
        <v>0</v>
      </c>
      <c r="E30" s="88">
        <f>'10.Grain Production details'!E84</f>
        <v>0</v>
      </c>
      <c r="F30" s="88">
        <f>'10.Grain Production details'!F84</f>
        <v>0</v>
      </c>
      <c r="G30" s="88">
        <f>'10.Grain Production details'!G84</f>
        <v>0</v>
      </c>
      <c r="H30" s="88">
        <f>'10.Grain Production details'!H84</f>
        <v>0</v>
      </c>
    </row>
    <row r="31" spans="1:8">
      <c r="A31" s="88" t="str">
        <f>'10.Grain Production details'!A85</f>
        <v>Bengal Gram/Channa</v>
      </c>
      <c r="B31" s="88">
        <f>'10.Grain Production details'!B85</f>
        <v>972.99999999999989</v>
      </c>
      <c r="C31" s="88">
        <f>'10.Grain Production details'!C85</f>
        <v>1000.8</v>
      </c>
      <c r="D31" s="88">
        <f>'10.Grain Production details'!D85</f>
        <v>1028.5999999999999</v>
      </c>
      <c r="E31" s="88">
        <f>'10.Grain Production details'!E85</f>
        <v>1056.4000000000001</v>
      </c>
      <c r="F31" s="88">
        <f>'10.Grain Production details'!F85</f>
        <v>1084.2</v>
      </c>
      <c r="G31" s="88">
        <f>'10.Grain Production details'!G85</f>
        <v>1112</v>
      </c>
      <c r="H31" s="88">
        <f>'10.Grain Production details'!H85</f>
        <v>1139.8</v>
      </c>
    </row>
    <row r="32" spans="1:8">
      <c r="A32" s="88" t="s">
        <v>476</v>
      </c>
      <c r="B32" s="88">
        <f>SUM(B13:B31)</f>
        <v>18778.899999999998</v>
      </c>
      <c r="C32" s="88">
        <f t="shared" ref="C32:H32" si="1">SUM(C13:C31)</f>
        <v>19315.439999999999</v>
      </c>
      <c r="D32" s="88">
        <f t="shared" si="1"/>
        <v>19851.979999999996</v>
      </c>
      <c r="E32" s="88">
        <f t="shared" si="1"/>
        <v>20388.52</v>
      </c>
      <c r="F32" s="88">
        <f t="shared" si="1"/>
        <v>20925.059999999998</v>
      </c>
      <c r="G32" s="88">
        <f t="shared" si="1"/>
        <v>21461.599999999999</v>
      </c>
      <c r="H32" s="88">
        <f t="shared" si="1"/>
        <v>21998.139999999996</v>
      </c>
    </row>
    <row r="33" spans="1:8">
      <c r="A33" s="293" t="s">
        <v>167</v>
      </c>
      <c r="B33" s="249">
        <v>0.4</v>
      </c>
      <c r="C33" s="249">
        <f t="shared" ref="C33:H33" si="2">B33</f>
        <v>0.4</v>
      </c>
      <c r="D33" s="249">
        <f t="shared" si="2"/>
        <v>0.4</v>
      </c>
      <c r="E33" s="249">
        <f t="shared" si="2"/>
        <v>0.4</v>
      </c>
      <c r="F33" s="249">
        <f t="shared" si="2"/>
        <v>0.4</v>
      </c>
      <c r="G33" s="249">
        <f t="shared" si="2"/>
        <v>0.4</v>
      </c>
      <c r="H33" s="249">
        <f t="shared" si="2"/>
        <v>0.4</v>
      </c>
    </row>
    <row r="34" spans="1:8">
      <c r="A34" s="92" t="s">
        <v>486</v>
      </c>
      <c r="B34" s="294">
        <f>1-B33</f>
        <v>0.6</v>
      </c>
      <c r="C34" s="294">
        <f t="shared" ref="C34:H34" si="3">1-C33</f>
        <v>0.6</v>
      </c>
      <c r="D34" s="294">
        <f t="shared" si="3"/>
        <v>0.6</v>
      </c>
      <c r="E34" s="294">
        <f t="shared" si="3"/>
        <v>0.6</v>
      </c>
      <c r="F34" s="294">
        <f t="shared" si="3"/>
        <v>0.6</v>
      </c>
      <c r="G34" s="294">
        <f t="shared" si="3"/>
        <v>0.6</v>
      </c>
      <c r="H34" s="294">
        <f t="shared" si="3"/>
        <v>0.6</v>
      </c>
    </row>
    <row r="35" spans="1:8">
      <c r="A35" s="90" t="s">
        <v>167</v>
      </c>
      <c r="B35" s="233">
        <f>B32*B33</f>
        <v>7511.5599999999995</v>
      </c>
      <c r="C35" s="233">
        <f t="shared" ref="C35:H35" si="4">C32*C33</f>
        <v>7726.1759999999995</v>
      </c>
      <c r="D35" s="233">
        <f t="shared" si="4"/>
        <v>7940.7919999999986</v>
      </c>
      <c r="E35" s="233">
        <f t="shared" si="4"/>
        <v>8155.4080000000004</v>
      </c>
      <c r="F35" s="233">
        <f t="shared" si="4"/>
        <v>8370.0239999999994</v>
      </c>
      <c r="G35" s="233">
        <f t="shared" si="4"/>
        <v>8584.64</v>
      </c>
      <c r="H35" s="233">
        <f t="shared" si="4"/>
        <v>8799.2559999999994</v>
      </c>
    </row>
    <row r="36" spans="1:8">
      <c r="A36" s="90" t="s">
        <v>168</v>
      </c>
      <c r="B36" s="108"/>
      <c r="C36" s="108"/>
      <c r="D36" s="108"/>
      <c r="E36" s="108"/>
      <c r="F36" s="108"/>
      <c r="G36" s="108"/>
      <c r="H36" s="108"/>
    </row>
    <row r="37" spans="1:8">
      <c r="A37" s="88" t="str">
        <f t="shared" ref="A37:A55" si="5">A13</f>
        <v>Soybean</v>
      </c>
      <c r="B37" s="89">
        <f t="shared" ref="B37:B55" si="6">B13*$B$34</f>
        <v>0</v>
      </c>
      <c r="C37" s="89">
        <f t="shared" ref="C37:H37" si="7">C13*$B$34</f>
        <v>0</v>
      </c>
      <c r="D37" s="89">
        <f t="shared" si="7"/>
        <v>0</v>
      </c>
      <c r="E37" s="89">
        <f t="shared" si="7"/>
        <v>0</v>
      </c>
      <c r="F37" s="89">
        <f t="shared" si="7"/>
        <v>0</v>
      </c>
      <c r="G37" s="89">
        <f t="shared" si="7"/>
        <v>0</v>
      </c>
      <c r="H37" s="89">
        <f t="shared" si="7"/>
        <v>0</v>
      </c>
    </row>
    <row r="38" spans="1:8">
      <c r="A38" s="88" t="str">
        <f t="shared" si="5"/>
        <v>Red Gram/Tur</v>
      </c>
      <c r="B38" s="89">
        <f t="shared" si="6"/>
        <v>4378.4999999999991</v>
      </c>
      <c r="C38" s="89">
        <f t="shared" ref="C38:C55" si="8">C14*$C$34</f>
        <v>4503.5999999999995</v>
      </c>
      <c r="D38" s="89">
        <f t="shared" ref="D38:D55" si="9">D14*$D$34</f>
        <v>4628.7</v>
      </c>
      <c r="E38" s="89">
        <f t="shared" ref="E38:E55" si="10">E14*$E$34</f>
        <v>4753.8</v>
      </c>
      <c r="F38" s="89">
        <f t="shared" ref="F38:F55" si="11">F14*$F$34</f>
        <v>4878.8999999999996</v>
      </c>
      <c r="G38" s="89">
        <f t="shared" ref="G38:G55" si="12">G14*$G$34</f>
        <v>5004</v>
      </c>
      <c r="H38" s="89">
        <f t="shared" ref="H38:H55" si="13">H14*$H$34</f>
        <v>5129.0999999999995</v>
      </c>
    </row>
    <row r="39" spans="1:8">
      <c r="A39" s="88" t="str">
        <f t="shared" si="5"/>
        <v>Paddy/Rice</v>
      </c>
      <c r="B39" s="89">
        <f t="shared" si="6"/>
        <v>0</v>
      </c>
      <c r="C39" s="89">
        <f t="shared" si="8"/>
        <v>0</v>
      </c>
      <c r="D39" s="89">
        <f t="shared" si="9"/>
        <v>0</v>
      </c>
      <c r="E39" s="89">
        <f t="shared" si="10"/>
        <v>0</v>
      </c>
      <c r="F39" s="89">
        <f t="shared" si="11"/>
        <v>0</v>
      </c>
      <c r="G39" s="89">
        <f t="shared" si="12"/>
        <v>0</v>
      </c>
      <c r="H39" s="89">
        <f t="shared" si="13"/>
        <v>0</v>
      </c>
    </row>
    <row r="40" spans="1:8">
      <c r="A40" s="88" t="str">
        <f t="shared" si="5"/>
        <v>Green Gram/ Moong</v>
      </c>
      <c r="B40" s="89">
        <f t="shared" si="6"/>
        <v>700.56</v>
      </c>
      <c r="C40" s="89">
        <f t="shared" si="8"/>
        <v>720.57600000000002</v>
      </c>
      <c r="D40" s="89">
        <f t="shared" si="9"/>
        <v>740.59199999999998</v>
      </c>
      <c r="E40" s="89">
        <f t="shared" si="10"/>
        <v>760.60800000000006</v>
      </c>
      <c r="F40" s="89">
        <f t="shared" si="11"/>
        <v>780.62399999999991</v>
      </c>
      <c r="G40" s="89">
        <f t="shared" si="12"/>
        <v>800.64</v>
      </c>
      <c r="H40" s="89">
        <f t="shared" si="13"/>
        <v>820.65599999999995</v>
      </c>
    </row>
    <row r="41" spans="1:8">
      <c r="A41" s="88" t="str">
        <f t="shared" si="5"/>
        <v>Maize</v>
      </c>
      <c r="B41" s="89">
        <f t="shared" si="6"/>
        <v>0</v>
      </c>
      <c r="C41" s="89">
        <f t="shared" si="8"/>
        <v>0</v>
      </c>
      <c r="D41" s="89">
        <f t="shared" si="9"/>
        <v>0</v>
      </c>
      <c r="E41" s="89">
        <f t="shared" si="10"/>
        <v>0</v>
      </c>
      <c r="F41" s="89">
        <f t="shared" si="11"/>
        <v>0</v>
      </c>
      <c r="G41" s="89">
        <f t="shared" si="12"/>
        <v>0</v>
      </c>
      <c r="H41" s="89">
        <f t="shared" si="13"/>
        <v>0</v>
      </c>
    </row>
    <row r="42" spans="1:8">
      <c r="A42" s="88" t="str">
        <f t="shared" si="5"/>
        <v>Black Gram/Udid</v>
      </c>
      <c r="B42" s="89">
        <f t="shared" si="6"/>
        <v>875.69999999999993</v>
      </c>
      <c r="C42" s="89">
        <f t="shared" si="8"/>
        <v>900.72</v>
      </c>
      <c r="D42" s="89">
        <f t="shared" si="9"/>
        <v>925.74</v>
      </c>
      <c r="E42" s="89">
        <f t="shared" si="10"/>
        <v>950.75999999999988</v>
      </c>
      <c r="F42" s="89">
        <f t="shared" si="11"/>
        <v>975.78</v>
      </c>
      <c r="G42" s="89">
        <f t="shared" si="12"/>
        <v>1000.8</v>
      </c>
      <c r="H42" s="89">
        <f t="shared" si="13"/>
        <v>1025.82</v>
      </c>
    </row>
    <row r="43" spans="1:8">
      <c r="A43" s="88" t="str">
        <f t="shared" si="5"/>
        <v>Bajra</v>
      </c>
      <c r="B43" s="89">
        <f t="shared" si="6"/>
        <v>0</v>
      </c>
      <c r="C43" s="89">
        <f t="shared" si="8"/>
        <v>0</v>
      </c>
      <c r="D43" s="89">
        <f t="shared" si="9"/>
        <v>0</v>
      </c>
      <c r="E43" s="89">
        <f t="shared" si="10"/>
        <v>0</v>
      </c>
      <c r="F43" s="89">
        <f t="shared" si="11"/>
        <v>0</v>
      </c>
      <c r="G43" s="89">
        <f t="shared" si="12"/>
        <v>0</v>
      </c>
      <c r="H43" s="89">
        <f t="shared" si="13"/>
        <v>0</v>
      </c>
    </row>
    <row r="44" spans="1:8">
      <c r="A44" s="88" t="str">
        <f t="shared" si="5"/>
        <v>Bengal Gram/Channa</v>
      </c>
      <c r="B44" s="89">
        <f t="shared" si="6"/>
        <v>2627.1</v>
      </c>
      <c r="C44" s="89">
        <f t="shared" si="8"/>
        <v>2702.1599999999994</v>
      </c>
      <c r="D44" s="89">
        <f t="shared" si="9"/>
        <v>2777.2199999999993</v>
      </c>
      <c r="E44" s="89">
        <f t="shared" si="10"/>
        <v>2852.2799999999988</v>
      </c>
      <c r="F44" s="89">
        <f t="shared" si="11"/>
        <v>2927.3399999999992</v>
      </c>
      <c r="G44" s="89">
        <f t="shared" si="12"/>
        <v>3002.3999999999992</v>
      </c>
      <c r="H44" s="89">
        <f t="shared" si="13"/>
        <v>3077.4599999999991</v>
      </c>
    </row>
    <row r="45" spans="1:8">
      <c r="A45" s="88" t="str">
        <f t="shared" si="5"/>
        <v>Sunflower</v>
      </c>
      <c r="B45" s="89">
        <f t="shared" si="6"/>
        <v>0</v>
      </c>
      <c r="C45" s="89">
        <f t="shared" si="8"/>
        <v>0</v>
      </c>
      <c r="D45" s="89">
        <f t="shared" si="9"/>
        <v>0</v>
      </c>
      <c r="E45" s="89">
        <f t="shared" si="10"/>
        <v>0</v>
      </c>
      <c r="F45" s="89">
        <f t="shared" si="11"/>
        <v>0</v>
      </c>
      <c r="G45" s="89">
        <f t="shared" si="12"/>
        <v>0</v>
      </c>
      <c r="H45" s="89">
        <f t="shared" si="13"/>
        <v>0</v>
      </c>
    </row>
    <row r="46" spans="1:8">
      <c r="A46" s="88" t="str">
        <f t="shared" si="5"/>
        <v>Wheat</v>
      </c>
      <c r="B46" s="89">
        <f t="shared" si="6"/>
        <v>0</v>
      </c>
      <c r="C46" s="89">
        <f t="shared" si="8"/>
        <v>0</v>
      </c>
      <c r="D46" s="89">
        <f t="shared" si="9"/>
        <v>0</v>
      </c>
      <c r="E46" s="89">
        <f t="shared" si="10"/>
        <v>0</v>
      </c>
      <c r="F46" s="89">
        <f t="shared" si="11"/>
        <v>0</v>
      </c>
      <c r="G46" s="89">
        <f t="shared" si="12"/>
        <v>0</v>
      </c>
      <c r="H46" s="89">
        <f t="shared" si="13"/>
        <v>0</v>
      </c>
    </row>
    <row r="47" spans="1:8">
      <c r="A47" s="88" t="str">
        <f t="shared" si="5"/>
        <v>Bengal Gram/Channa</v>
      </c>
      <c r="B47" s="89">
        <f t="shared" si="6"/>
        <v>2101.6799999999998</v>
      </c>
      <c r="C47" s="89">
        <f t="shared" si="8"/>
        <v>2161.7279999999996</v>
      </c>
      <c r="D47" s="89">
        <f t="shared" si="9"/>
        <v>2221.7759999999998</v>
      </c>
      <c r="E47" s="89">
        <f t="shared" si="10"/>
        <v>2281.8240000000001</v>
      </c>
      <c r="F47" s="89">
        <f t="shared" si="11"/>
        <v>2341.8720000000003</v>
      </c>
      <c r="G47" s="89">
        <f t="shared" si="12"/>
        <v>2401.92</v>
      </c>
      <c r="H47" s="89">
        <f t="shared" si="13"/>
        <v>2461.9679999999998</v>
      </c>
    </row>
    <row r="48" spans="1:8">
      <c r="A48" s="88" t="str">
        <f t="shared" si="5"/>
        <v>Jawar</v>
      </c>
      <c r="B48" s="89">
        <f t="shared" si="6"/>
        <v>0</v>
      </c>
      <c r="C48" s="89">
        <f t="shared" si="8"/>
        <v>0</v>
      </c>
      <c r="D48" s="89">
        <f t="shared" si="9"/>
        <v>0</v>
      </c>
      <c r="E48" s="89">
        <f t="shared" si="10"/>
        <v>0</v>
      </c>
      <c r="F48" s="89">
        <f t="shared" si="11"/>
        <v>0</v>
      </c>
      <c r="G48" s="89">
        <f t="shared" si="12"/>
        <v>0</v>
      </c>
      <c r="H48" s="89">
        <f t="shared" si="13"/>
        <v>0</v>
      </c>
    </row>
    <row r="49" spans="1:8">
      <c r="A49" s="88" t="str">
        <f t="shared" si="5"/>
        <v>Maize</v>
      </c>
      <c r="B49" s="89">
        <f t="shared" si="6"/>
        <v>0</v>
      </c>
      <c r="C49" s="89">
        <f t="shared" si="8"/>
        <v>0</v>
      </c>
      <c r="D49" s="89">
        <f t="shared" si="9"/>
        <v>0</v>
      </c>
      <c r="E49" s="89">
        <f t="shared" si="10"/>
        <v>0</v>
      </c>
      <c r="F49" s="89">
        <f t="shared" si="11"/>
        <v>0</v>
      </c>
      <c r="G49" s="89">
        <f t="shared" si="12"/>
        <v>0</v>
      </c>
      <c r="H49" s="89">
        <f t="shared" si="13"/>
        <v>0</v>
      </c>
    </row>
    <row r="50" spans="1:8">
      <c r="A50" s="88" t="str">
        <f t="shared" si="5"/>
        <v>Safflower</v>
      </c>
      <c r="B50" s="89">
        <f t="shared" si="6"/>
        <v>0</v>
      </c>
      <c r="C50" s="89">
        <f t="shared" si="8"/>
        <v>0</v>
      </c>
      <c r="D50" s="89">
        <f t="shared" si="9"/>
        <v>0</v>
      </c>
      <c r="E50" s="89">
        <f t="shared" si="10"/>
        <v>0</v>
      </c>
      <c r="F50" s="89">
        <f t="shared" si="11"/>
        <v>0</v>
      </c>
      <c r="G50" s="89">
        <f t="shared" si="12"/>
        <v>0</v>
      </c>
      <c r="H50" s="89">
        <f t="shared" si="13"/>
        <v>0</v>
      </c>
    </row>
    <row r="51" spans="1:8">
      <c r="A51" s="88">
        <f t="shared" si="5"/>
        <v>0</v>
      </c>
      <c r="B51" s="89">
        <f t="shared" si="6"/>
        <v>0</v>
      </c>
      <c r="C51" s="89">
        <f t="shared" si="8"/>
        <v>0</v>
      </c>
      <c r="D51" s="89">
        <f t="shared" si="9"/>
        <v>0</v>
      </c>
      <c r="E51" s="89">
        <f t="shared" si="10"/>
        <v>0</v>
      </c>
      <c r="F51" s="89">
        <f t="shared" si="11"/>
        <v>0</v>
      </c>
      <c r="G51" s="89">
        <f t="shared" si="12"/>
        <v>0</v>
      </c>
      <c r="H51" s="89">
        <f t="shared" si="13"/>
        <v>0</v>
      </c>
    </row>
    <row r="52" spans="1:8">
      <c r="A52" s="88">
        <f t="shared" si="5"/>
        <v>0</v>
      </c>
      <c r="B52" s="89">
        <f t="shared" si="6"/>
        <v>0</v>
      </c>
      <c r="C52" s="89">
        <f t="shared" si="8"/>
        <v>0</v>
      </c>
      <c r="D52" s="89">
        <f t="shared" si="9"/>
        <v>0</v>
      </c>
      <c r="E52" s="89">
        <f t="shared" si="10"/>
        <v>0</v>
      </c>
      <c r="F52" s="89">
        <f t="shared" si="11"/>
        <v>0</v>
      </c>
      <c r="G52" s="89">
        <f t="shared" si="12"/>
        <v>0</v>
      </c>
      <c r="H52" s="89">
        <f t="shared" si="13"/>
        <v>0</v>
      </c>
    </row>
    <row r="53" spans="1:8">
      <c r="A53" s="88">
        <f t="shared" si="5"/>
        <v>0</v>
      </c>
      <c r="B53" s="89">
        <f t="shared" si="6"/>
        <v>0</v>
      </c>
      <c r="C53" s="89">
        <f t="shared" si="8"/>
        <v>0</v>
      </c>
      <c r="D53" s="89">
        <f t="shared" si="9"/>
        <v>0</v>
      </c>
      <c r="E53" s="89">
        <f t="shared" si="10"/>
        <v>0</v>
      </c>
      <c r="F53" s="89">
        <f t="shared" si="11"/>
        <v>0</v>
      </c>
      <c r="G53" s="89">
        <f t="shared" si="12"/>
        <v>0</v>
      </c>
      <c r="H53" s="89">
        <f t="shared" si="13"/>
        <v>0</v>
      </c>
    </row>
    <row r="54" spans="1:8">
      <c r="A54" s="88" t="str">
        <f t="shared" si="5"/>
        <v>Groundnut</v>
      </c>
      <c r="B54" s="89">
        <f t="shared" si="6"/>
        <v>0</v>
      </c>
      <c r="C54" s="89">
        <f t="shared" si="8"/>
        <v>0</v>
      </c>
      <c r="D54" s="89">
        <f t="shared" si="9"/>
        <v>0</v>
      </c>
      <c r="E54" s="89">
        <f t="shared" si="10"/>
        <v>0</v>
      </c>
      <c r="F54" s="89">
        <f t="shared" si="11"/>
        <v>0</v>
      </c>
      <c r="G54" s="89">
        <f t="shared" si="12"/>
        <v>0</v>
      </c>
      <c r="H54" s="89">
        <f t="shared" si="13"/>
        <v>0</v>
      </c>
    </row>
    <row r="55" spans="1:8">
      <c r="A55" s="88" t="str">
        <f t="shared" si="5"/>
        <v>Bengal Gram/Channa</v>
      </c>
      <c r="B55" s="89">
        <f t="shared" si="6"/>
        <v>583.79999999999995</v>
      </c>
      <c r="C55" s="89">
        <f t="shared" si="8"/>
        <v>600.4799999999999</v>
      </c>
      <c r="D55" s="89">
        <f t="shared" si="9"/>
        <v>617.16</v>
      </c>
      <c r="E55" s="89">
        <f t="shared" si="10"/>
        <v>633.84</v>
      </c>
      <c r="F55" s="89">
        <f t="shared" si="11"/>
        <v>650.52</v>
      </c>
      <c r="G55" s="89">
        <f t="shared" si="12"/>
        <v>667.19999999999993</v>
      </c>
      <c r="H55" s="89">
        <f t="shared" si="13"/>
        <v>683.88</v>
      </c>
    </row>
    <row r="56" spans="1:8">
      <c r="A56" s="88"/>
      <c r="B56" s="88"/>
      <c r="C56" s="88"/>
      <c r="D56" s="88"/>
      <c r="E56" s="88"/>
      <c r="F56" s="88"/>
      <c r="G56" s="88"/>
      <c r="H56" s="88"/>
    </row>
    <row r="57" spans="1:8">
      <c r="A57" s="90" t="s">
        <v>289</v>
      </c>
      <c r="B57" s="88"/>
      <c r="C57" s="88"/>
      <c r="D57" s="88"/>
      <c r="E57" s="88"/>
      <c r="F57" s="88"/>
      <c r="G57" s="88"/>
      <c r="H57" s="88"/>
    </row>
    <row r="58" spans="1:8">
      <c r="A58" s="88" t="str">
        <f>A37</f>
        <v>Soybean</v>
      </c>
      <c r="B58" s="88"/>
      <c r="C58" s="88"/>
      <c r="D58" s="88"/>
      <c r="E58" s="88"/>
      <c r="F58" s="88"/>
      <c r="G58" s="88"/>
      <c r="H58" s="88"/>
    </row>
    <row r="59" spans="1:8">
      <c r="A59" s="88"/>
      <c r="B59" s="88"/>
      <c r="C59" s="88"/>
      <c r="D59" s="88"/>
      <c r="E59" s="88"/>
      <c r="F59" s="88"/>
      <c r="G59" s="88"/>
      <c r="H59" s="88"/>
    </row>
    <row r="60" spans="1:8">
      <c r="A60" s="88"/>
      <c r="B60" s="88"/>
      <c r="C60" s="88"/>
      <c r="D60" s="88"/>
      <c r="E60" s="88"/>
      <c r="F60" s="88"/>
      <c r="G60" s="88"/>
      <c r="H60" s="88"/>
    </row>
    <row r="61" spans="1:8">
      <c r="A61" s="88"/>
      <c r="B61" s="88"/>
      <c r="C61" s="88"/>
      <c r="D61" s="88"/>
      <c r="E61" s="88"/>
      <c r="F61" s="88"/>
      <c r="G61" s="88"/>
      <c r="H61" s="88"/>
    </row>
    <row r="62" spans="1:8">
      <c r="A62" s="88" t="str">
        <f>A38</f>
        <v>Red Gram/Tur</v>
      </c>
      <c r="B62" s="184"/>
      <c r="C62" s="184"/>
      <c r="D62" s="184"/>
      <c r="E62" s="184"/>
      <c r="F62" s="184"/>
      <c r="G62" s="184"/>
      <c r="H62" s="184"/>
    </row>
    <row r="63" spans="1:8">
      <c r="A63" s="88" t="s">
        <v>477</v>
      </c>
      <c r="B63" s="184">
        <f>B38*80%</f>
        <v>3502.7999999999993</v>
      </c>
      <c r="C63" s="184">
        <f t="shared" ref="C63:H63" si="14">C38*80%</f>
        <v>3602.8799999999997</v>
      </c>
      <c r="D63" s="184">
        <f t="shared" si="14"/>
        <v>3702.96</v>
      </c>
      <c r="E63" s="184">
        <f t="shared" si="14"/>
        <v>3803.0400000000004</v>
      </c>
      <c r="F63" s="184">
        <f t="shared" si="14"/>
        <v>3903.12</v>
      </c>
      <c r="G63" s="184">
        <f t="shared" si="14"/>
        <v>4003.2000000000003</v>
      </c>
      <c r="H63" s="184">
        <f t="shared" si="14"/>
        <v>4103.28</v>
      </c>
    </row>
    <row r="64" spans="1:8">
      <c r="A64" s="88" t="s">
        <v>142</v>
      </c>
      <c r="B64" s="184">
        <f>B38*20%</f>
        <v>875.69999999999982</v>
      </c>
      <c r="C64" s="184">
        <f t="shared" ref="C64:H64" si="15">C38*20%</f>
        <v>900.71999999999991</v>
      </c>
      <c r="D64" s="184">
        <f t="shared" si="15"/>
        <v>925.74</v>
      </c>
      <c r="E64" s="184">
        <f t="shared" si="15"/>
        <v>950.7600000000001</v>
      </c>
      <c r="F64" s="184">
        <f t="shared" si="15"/>
        <v>975.78</v>
      </c>
      <c r="G64" s="184">
        <f t="shared" si="15"/>
        <v>1000.8000000000001</v>
      </c>
      <c r="H64" s="184">
        <f t="shared" si="15"/>
        <v>1025.82</v>
      </c>
    </row>
    <row r="65" spans="1:8">
      <c r="A65" s="88" t="str">
        <f>A39</f>
        <v>Paddy/Rice</v>
      </c>
      <c r="B65" s="89"/>
      <c r="C65" s="89"/>
      <c r="D65" s="89"/>
      <c r="E65" s="89"/>
      <c r="F65" s="89"/>
      <c r="G65" s="89"/>
      <c r="H65" s="89"/>
    </row>
    <row r="66" spans="1:8">
      <c r="A66" s="88"/>
      <c r="B66" s="89"/>
      <c r="C66" s="89"/>
      <c r="D66" s="89"/>
      <c r="E66" s="89"/>
      <c r="F66" s="89"/>
      <c r="G66" s="89"/>
      <c r="H66" s="89"/>
    </row>
    <row r="67" spans="1:8">
      <c r="A67" s="88"/>
      <c r="B67" s="89"/>
      <c r="C67" s="89"/>
      <c r="D67" s="89"/>
      <c r="E67" s="89"/>
      <c r="F67" s="89"/>
      <c r="G67" s="89"/>
      <c r="H67" s="89"/>
    </row>
    <row r="68" spans="1:8">
      <c r="A68" s="88"/>
      <c r="B68" s="89"/>
      <c r="C68" s="89"/>
      <c r="D68" s="89"/>
      <c r="E68" s="89"/>
      <c r="F68" s="89"/>
      <c r="G68" s="89"/>
      <c r="H68" s="89"/>
    </row>
    <row r="69" spans="1:8">
      <c r="A69" s="88" t="str">
        <f>A40</f>
        <v>Green Gram/ Moong</v>
      </c>
      <c r="B69" s="89"/>
      <c r="C69" s="89"/>
      <c r="D69" s="89"/>
      <c r="E69" s="89"/>
      <c r="F69" s="89"/>
      <c r="G69" s="89"/>
      <c r="H69" s="89"/>
    </row>
    <row r="70" spans="1:8">
      <c r="A70" s="88" t="s">
        <v>477</v>
      </c>
      <c r="B70" s="89">
        <f>B40*80%</f>
        <v>560.44799999999998</v>
      </c>
      <c r="C70" s="89">
        <f t="shared" ref="C70:H70" si="16">C40*80%</f>
        <v>576.46080000000006</v>
      </c>
      <c r="D70" s="89">
        <f t="shared" si="16"/>
        <v>592.47360000000003</v>
      </c>
      <c r="E70" s="89">
        <f t="shared" si="16"/>
        <v>608.48640000000012</v>
      </c>
      <c r="F70" s="89">
        <f t="shared" si="16"/>
        <v>624.49919999999997</v>
      </c>
      <c r="G70" s="89">
        <f t="shared" si="16"/>
        <v>640.51200000000006</v>
      </c>
      <c r="H70" s="89">
        <f t="shared" si="16"/>
        <v>656.52480000000003</v>
      </c>
    </row>
    <row r="71" spans="1:8">
      <c r="A71" s="88" t="s">
        <v>142</v>
      </c>
      <c r="B71" s="89">
        <f>B40*20%</f>
        <v>140.11199999999999</v>
      </c>
      <c r="C71" s="89">
        <f t="shared" ref="C71:H71" si="17">C40*20%</f>
        <v>144.11520000000002</v>
      </c>
      <c r="D71" s="89">
        <f t="shared" si="17"/>
        <v>148.11840000000001</v>
      </c>
      <c r="E71" s="89">
        <f t="shared" si="17"/>
        <v>152.12160000000003</v>
      </c>
      <c r="F71" s="89">
        <f t="shared" si="17"/>
        <v>156.12479999999999</v>
      </c>
      <c r="G71" s="89">
        <f t="shared" si="17"/>
        <v>160.12800000000001</v>
      </c>
      <c r="H71" s="89">
        <f t="shared" si="17"/>
        <v>164.13120000000001</v>
      </c>
    </row>
    <row r="72" spans="1:8">
      <c r="A72" s="88" t="str">
        <f>A41</f>
        <v>Maize</v>
      </c>
      <c r="B72" s="89"/>
      <c r="C72" s="89"/>
      <c r="D72" s="89"/>
      <c r="E72" s="89"/>
      <c r="F72" s="89"/>
      <c r="G72" s="89"/>
      <c r="H72" s="89"/>
    </row>
    <row r="73" spans="1:8">
      <c r="A73" s="88"/>
      <c r="B73" s="89"/>
      <c r="C73" s="89"/>
      <c r="D73" s="89"/>
      <c r="E73" s="89"/>
      <c r="F73" s="89"/>
      <c r="G73" s="89"/>
      <c r="H73" s="89"/>
    </row>
    <row r="74" spans="1:8">
      <c r="A74" s="88"/>
      <c r="B74" s="89"/>
      <c r="C74" s="89"/>
      <c r="D74" s="89"/>
      <c r="E74" s="89"/>
      <c r="F74" s="89"/>
      <c r="G74" s="89"/>
      <c r="H74" s="89"/>
    </row>
    <row r="75" spans="1:8">
      <c r="A75" s="88"/>
      <c r="B75" s="89"/>
      <c r="C75" s="89"/>
      <c r="D75" s="89"/>
      <c r="E75" s="89"/>
      <c r="F75" s="89"/>
      <c r="G75" s="89"/>
      <c r="H75" s="89"/>
    </row>
    <row r="76" spans="1:8">
      <c r="A76" s="88"/>
      <c r="B76" s="89"/>
      <c r="C76" s="89"/>
      <c r="D76" s="89"/>
      <c r="E76" s="89"/>
      <c r="F76" s="89"/>
      <c r="G76" s="89"/>
      <c r="H76" s="89"/>
    </row>
    <row r="77" spans="1:8">
      <c r="A77" s="88" t="str">
        <f>A42</f>
        <v>Black Gram/Udid</v>
      </c>
      <c r="B77" s="89"/>
      <c r="C77" s="89"/>
      <c r="D77" s="89"/>
      <c r="E77" s="89"/>
      <c r="F77" s="89"/>
      <c r="G77" s="89"/>
      <c r="H77" s="89"/>
    </row>
    <row r="78" spans="1:8">
      <c r="A78" s="88" t="s">
        <v>477</v>
      </c>
      <c r="B78" s="89">
        <f t="shared" ref="B78:H78" si="18">B42*80%</f>
        <v>700.56</v>
      </c>
      <c r="C78" s="89">
        <f t="shared" si="18"/>
        <v>720.57600000000002</v>
      </c>
      <c r="D78" s="89">
        <f t="shared" si="18"/>
        <v>740.5920000000001</v>
      </c>
      <c r="E78" s="89">
        <f t="shared" si="18"/>
        <v>760.60799999999995</v>
      </c>
      <c r="F78" s="89">
        <f t="shared" si="18"/>
        <v>780.62400000000002</v>
      </c>
      <c r="G78" s="89">
        <f t="shared" si="18"/>
        <v>800.64</v>
      </c>
      <c r="H78" s="89">
        <f t="shared" si="18"/>
        <v>820.65599999999995</v>
      </c>
    </row>
    <row r="79" spans="1:8">
      <c r="A79" s="88" t="s">
        <v>142</v>
      </c>
      <c r="B79" s="89">
        <f t="shared" ref="B79:H79" si="19">B42*20%</f>
        <v>175.14</v>
      </c>
      <c r="C79" s="89">
        <f t="shared" si="19"/>
        <v>180.14400000000001</v>
      </c>
      <c r="D79" s="89">
        <f t="shared" si="19"/>
        <v>185.14800000000002</v>
      </c>
      <c r="E79" s="89">
        <f t="shared" si="19"/>
        <v>190.15199999999999</v>
      </c>
      <c r="F79" s="89">
        <f t="shared" si="19"/>
        <v>195.15600000000001</v>
      </c>
      <c r="G79" s="89">
        <f t="shared" si="19"/>
        <v>200.16</v>
      </c>
      <c r="H79" s="89">
        <f t="shared" si="19"/>
        <v>205.16399999999999</v>
      </c>
    </row>
    <row r="80" spans="1:8">
      <c r="A80" s="88" t="str">
        <f>A43</f>
        <v>Bajra</v>
      </c>
      <c r="B80" s="89"/>
      <c r="C80" s="89"/>
      <c r="D80" s="89"/>
      <c r="E80" s="89"/>
      <c r="F80" s="89"/>
      <c r="G80" s="89"/>
      <c r="H80" s="89"/>
    </row>
    <row r="81" spans="1:8">
      <c r="A81" s="88"/>
      <c r="B81" s="89"/>
      <c r="C81" s="89"/>
      <c r="D81" s="89"/>
      <c r="E81" s="89"/>
      <c r="F81" s="89"/>
      <c r="G81" s="89"/>
      <c r="H81" s="89"/>
    </row>
    <row r="82" spans="1:8">
      <c r="A82" s="88"/>
      <c r="B82" s="89"/>
      <c r="C82" s="89"/>
      <c r="D82" s="89"/>
      <c r="E82" s="89"/>
      <c r="F82" s="89"/>
      <c r="G82" s="89"/>
      <c r="H82" s="89"/>
    </row>
    <row r="83" spans="1:8">
      <c r="A83" s="88" t="str">
        <f>A44</f>
        <v>Bengal Gram/Channa</v>
      </c>
      <c r="B83" s="89"/>
      <c r="C83" s="89"/>
      <c r="D83" s="89"/>
      <c r="E83" s="89"/>
      <c r="F83" s="89"/>
      <c r="G83" s="89"/>
      <c r="H83" s="89"/>
    </row>
    <row r="84" spans="1:8">
      <c r="A84" s="88"/>
      <c r="B84" s="89"/>
      <c r="C84" s="89"/>
      <c r="D84" s="89"/>
      <c r="E84" s="89"/>
      <c r="F84" s="89"/>
      <c r="G84" s="89"/>
      <c r="H84" s="89"/>
    </row>
    <row r="85" spans="1:8">
      <c r="A85" s="88"/>
      <c r="B85" s="89"/>
      <c r="C85" s="89"/>
      <c r="D85" s="89"/>
      <c r="E85" s="89"/>
      <c r="F85" s="89"/>
      <c r="G85" s="89"/>
      <c r="H85" s="89"/>
    </row>
    <row r="86" spans="1:8">
      <c r="A86" s="88"/>
      <c r="B86" s="89"/>
      <c r="C86" s="89"/>
      <c r="D86" s="89"/>
      <c r="E86" s="89"/>
      <c r="F86" s="89"/>
      <c r="G86" s="89"/>
      <c r="H86" s="89"/>
    </row>
    <row r="87" spans="1:8">
      <c r="A87" s="88" t="str">
        <f>A45</f>
        <v>Sunflower</v>
      </c>
      <c r="B87" s="89"/>
      <c r="C87" s="89"/>
      <c r="D87" s="89"/>
      <c r="E87" s="89"/>
      <c r="F87" s="89"/>
      <c r="G87" s="89"/>
      <c r="H87" s="89"/>
    </row>
    <row r="88" spans="1:8">
      <c r="A88" s="88"/>
      <c r="B88" s="89"/>
      <c r="C88" s="89"/>
      <c r="D88" s="89"/>
      <c r="E88" s="89"/>
      <c r="F88" s="89"/>
      <c r="G88" s="89"/>
      <c r="H88" s="89"/>
    </row>
    <row r="89" spans="1:8">
      <c r="A89" s="88"/>
      <c r="B89" s="89"/>
      <c r="C89" s="89"/>
      <c r="D89" s="89"/>
      <c r="E89" s="89"/>
      <c r="F89" s="89"/>
      <c r="G89" s="89"/>
      <c r="H89" s="89"/>
    </row>
    <row r="90" spans="1:8">
      <c r="A90" s="88"/>
      <c r="B90" s="89"/>
      <c r="C90" s="89"/>
      <c r="D90" s="89"/>
      <c r="E90" s="89"/>
      <c r="F90" s="89"/>
      <c r="G90" s="89"/>
      <c r="H90" s="89"/>
    </row>
    <row r="91" spans="1:8">
      <c r="A91" s="88" t="str">
        <f>A46</f>
        <v>Wheat</v>
      </c>
      <c r="B91" s="89"/>
      <c r="C91" s="89"/>
      <c r="D91" s="89"/>
      <c r="E91" s="89"/>
      <c r="F91" s="89"/>
      <c r="G91" s="89"/>
      <c r="H91" s="89"/>
    </row>
    <row r="92" spans="1:8">
      <c r="A92" s="88"/>
      <c r="B92" s="89"/>
      <c r="C92" s="89"/>
      <c r="D92" s="89"/>
      <c r="E92" s="89"/>
      <c r="F92" s="89"/>
      <c r="G92" s="89"/>
      <c r="H92" s="89"/>
    </row>
    <row r="93" spans="1:8">
      <c r="A93" s="88"/>
      <c r="B93" s="89"/>
      <c r="C93" s="89"/>
      <c r="D93" s="89"/>
      <c r="E93" s="89"/>
      <c r="F93" s="89"/>
      <c r="G93" s="89"/>
      <c r="H93" s="89"/>
    </row>
    <row r="94" spans="1:8">
      <c r="A94" s="88" t="str">
        <f>A47</f>
        <v>Bengal Gram/Channa</v>
      </c>
      <c r="B94" s="89"/>
      <c r="C94" s="89"/>
      <c r="D94" s="89"/>
      <c r="E94" s="89"/>
      <c r="F94" s="89"/>
      <c r="G94" s="89"/>
      <c r="H94" s="89"/>
    </row>
    <row r="95" spans="1:8">
      <c r="A95" s="88" t="s">
        <v>477</v>
      </c>
      <c r="B95" s="89">
        <f>(B47+B44+B55)*80%</f>
        <v>4250.0640000000003</v>
      </c>
      <c r="C95" s="89">
        <f t="shared" ref="C95:H95" si="20">(C47+C44+C55)*80%</f>
        <v>4371.4943999999987</v>
      </c>
      <c r="D95" s="89">
        <f t="shared" si="20"/>
        <v>4492.9247999999998</v>
      </c>
      <c r="E95" s="89">
        <f t="shared" si="20"/>
        <v>4614.3552</v>
      </c>
      <c r="F95" s="89">
        <f t="shared" si="20"/>
        <v>4735.7856000000002</v>
      </c>
      <c r="G95" s="89">
        <f t="shared" si="20"/>
        <v>4857.2159999999994</v>
      </c>
      <c r="H95" s="89">
        <f t="shared" si="20"/>
        <v>4978.6463999999996</v>
      </c>
    </row>
    <row r="96" spans="1:8">
      <c r="A96" s="88" t="s">
        <v>142</v>
      </c>
      <c r="B96" s="89">
        <f>(B47+B44+B55)*20%</f>
        <v>1062.5160000000001</v>
      </c>
      <c r="C96" s="89">
        <f t="shared" ref="C96:H96" si="21">(C47+C44+C55)*20%</f>
        <v>1092.8735999999997</v>
      </c>
      <c r="D96" s="89">
        <f t="shared" si="21"/>
        <v>1123.2311999999999</v>
      </c>
      <c r="E96" s="89">
        <f t="shared" si="21"/>
        <v>1153.5888</v>
      </c>
      <c r="F96" s="89">
        <f t="shared" si="21"/>
        <v>1183.9464</v>
      </c>
      <c r="G96" s="89">
        <f t="shared" si="21"/>
        <v>1214.3039999999999</v>
      </c>
      <c r="H96" s="89">
        <f t="shared" si="21"/>
        <v>1244.6615999999999</v>
      </c>
    </row>
    <row r="97" spans="1:8">
      <c r="A97" s="88" t="str">
        <f>A48</f>
        <v>Jawar</v>
      </c>
      <c r="B97" s="89"/>
      <c r="C97" s="89"/>
      <c r="D97" s="89"/>
      <c r="E97" s="89"/>
      <c r="F97" s="89"/>
      <c r="G97" s="89"/>
      <c r="H97" s="89"/>
    </row>
    <row r="98" spans="1:8">
      <c r="A98" s="88"/>
      <c r="B98" s="89"/>
      <c r="C98" s="89"/>
      <c r="D98" s="89"/>
      <c r="E98" s="89"/>
      <c r="F98" s="89"/>
      <c r="G98" s="89"/>
      <c r="H98" s="89"/>
    </row>
    <row r="99" spans="1:8">
      <c r="A99" s="88"/>
      <c r="B99" s="89"/>
      <c r="C99" s="89"/>
      <c r="D99" s="89"/>
      <c r="E99" s="89"/>
      <c r="F99" s="89"/>
      <c r="G99" s="89"/>
      <c r="H99" s="89"/>
    </row>
    <row r="100" spans="1:8">
      <c r="A100" s="88" t="str">
        <f>A49</f>
        <v>Maize</v>
      </c>
      <c r="B100" s="89"/>
      <c r="C100" s="89"/>
      <c r="D100" s="89"/>
      <c r="E100" s="89"/>
      <c r="F100" s="89"/>
      <c r="G100" s="89"/>
      <c r="H100" s="89"/>
    </row>
    <row r="101" spans="1:8">
      <c r="A101" s="88"/>
      <c r="B101" s="89"/>
      <c r="C101" s="89"/>
      <c r="D101" s="89"/>
      <c r="E101" s="89"/>
      <c r="F101" s="89"/>
      <c r="G101" s="89"/>
      <c r="H101" s="89"/>
    </row>
    <row r="102" spans="1:8">
      <c r="A102" s="88"/>
      <c r="B102" s="89"/>
      <c r="C102" s="89"/>
      <c r="D102" s="89"/>
      <c r="E102" s="89"/>
      <c r="F102" s="89"/>
      <c r="G102" s="89"/>
      <c r="H102" s="89"/>
    </row>
    <row r="103" spans="1:8">
      <c r="A103" s="88" t="str">
        <f>A50</f>
        <v>Safflower</v>
      </c>
      <c r="B103" s="89"/>
      <c r="C103" s="89"/>
      <c r="D103" s="89"/>
      <c r="E103" s="89"/>
      <c r="F103" s="89"/>
      <c r="G103" s="89"/>
      <c r="H103" s="89"/>
    </row>
    <row r="104" spans="1:8">
      <c r="A104" s="88"/>
      <c r="B104" s="89"/>
      <c r="C104" s="89"/>
      <c r="D104" s="89"/>
      <c r="E104" s="89"/>
      <c r="F104" s="89"/>
      <c r="G104" s="89"/>
      <c r="H104" s="89"/>
    </row>
    <row r="105" spans="1:8">
      <c r="A105" s="88"/>
      <c r="B105" s="89"/>
      <c r="C105" s="89"/>
      <c r="D105" s="89"/>
      <c r="E105" s="89"/>
      <c r="F105" s="89"/>
      <c r="G105" s="89"/>
      <c r="H105" s="89"/>
    </row>
    <row r="106" spans="1:8">
      <c r="A106" s="88">
        <f>A51</f>
        <v>0</v>
      </c>
      <c r="B106" s="89"/>
      <c r="C106" s="89"/>
      <c r="D106" s="89"/>
      <c r="E106" s="89"/>
      <c r="F106" s="89"/>
      <c r="G106" s="89"/>
      <c r="H106" s="89"/>
    </row>
    <row r="107" spans="1:8">
      <c r="A107" s="88"/>
      <c r="B107" s="89"/>
      <c r="C107" s="89"/>
      <c r="D107" s="89"/>
      <c r="E107" s="89"/>
      <c r="F107" s="89"/>
      <c r="G107" s="89"/>
      <c r="H107" s="89"/>
    </row>
    <row r="108" spans="1:8">
      <c r="A108" s="88"/>
      <c r="B108" s="89"/>
      <c r="C108" s="89"/>
      <c r="D108" s="89"/>
      <c r="E108" s="89"/>
      <c r="F108" s="89"/>
      <c r="G108" s="89"/>
      <c r="H108" s="89"/>
    </row>
    <row r="109" spans="1:8">
      <c r="A109" s="88">
        <f>A52</f>
        <v>0</v>
      </c>
      <c r="B109" s="89"/>
      <c r="C109" s="89"/>
      <c r="D109" s="89"/>
      <c r="E109" s="89"/>
      <c r="F109" s="89"/>
      <c r="G109" s="89"/>
      <c r="H109" s="89"/>
    </row>
    <row r="110" spans="1:8">
      <c r="A110" s="88"/>
      <c r="B110" s="89"/>
      <c r="C110" s="89"/>
      <c r="D110" s="89"/>
      <c r="E110" s="89"/>
      <c r="F110" s="89"/>
      <c r="G110" s="89"/>
      <c r="H110" s="89"/>
    </row>
    <row r="111" spans="1:8">
      <c r="A111" s="88"/>
      <c r="B111" s="89"/>
      <c r="C111" s="89"/>
      <c r="D111" s="89"/>
      <c r="E111" s="89"/>
      <c r="F111" s="89"/>
      <c r="G111" s="89"/>
      <c r="H111" s="89"/>
    </row>
    <row r="112" spans="1:8">
      <c r="A112" s="88">
        <f>A53</f>
        <v>0</v>
      </c>
      <c r="B112" s="89"/>
      <c r="C112" s="89"/>
      <c r="D112" s="89"/>
      <c r="E112" s="89"/>
      <c r="F112" s="89"/>
      <c r="G112" s="89"/>
      <c r="H112" s="89"/>
    </row>
    <row r="113" spans="1:8">
      <c r="A113" s="88"/>
      <c r="B113" s="89"/>
      <c r="C113" s="89"/>
      <c r="D113" s="89"/>
      <c r="E113" s="89"/>
      <c r="F113" s="89"/>
      <c r="G113" s="89"/>
      <c r="H113" s="89"/>
    </row>
    <row r="114" spans="1:8">
      <c r="A114" s="88"/>
      <c r="B114" s="89"/>
      <c r="C114" s="89"/>
      <c r="D114" s="89"/>
      <c r="E114" s="89"/>
      <c r="F114" s="89"/>
      <c r="G114" s="89"/>
      <c r="H114" s="89"/>
    </row>
    <row r="115" spans="1:8">
      <c r="A115" s="88" t="str">
        <f>A54</f>
        <v>Groundnut</v>
      </c>
      <c r="B115" s="89"/>
      <c r="C115" s="89"/>
      <c r="D115" s="89"/>
      <c r="E115" s="89"/>
      <c r="F115" s="89"/>
      <c r="G115" s="89"/>
      <c r="H115" s="89"/>
    </row>
    <row r="116" spans="1:8">
      <c r="A116" s="88"/>
      <c r="B116" s="89"/>
      <c r="C116" s="89"/>
      <c r="D116" s="89"/>
      <c r="E116" s="89"/>
      <c r="F116" s="89"/>
      <c r="G116" s="89"/>
      <c r="H116" s="89"/>
    </row>
    <row r="117" spans="1:8">
      <c r="A117" s="88"/>
      <c r="B117" s="89"/>
      <c r="C117" s="89"/>
      <c r="D117" s="89"/>
      <c r="E117" s="89"/>
      <c r="F117" s="89"/>
      <c r="G117" s="89"/>
      <c r="H117" s="89"/>
    </row>
    <row r="118" spans="1:8">
      <c r="A118" s="88" t="str">
        <f>A55</f>
        <v>Bengal Gram/Channa</v>
      </c>
      <c r="B118" s="89"/>
      <c r="C118" s="89"/>
      <c r="D118" s="89"/>
      <c r="E118" s="89"/>
      <c r="F118" s="89"/>
      <c r="G118" s="89"/>
      <c r="H118" s="89"/>
    </row>
    <row r="119" spans="1:8">
      <c r="A119" s="88"/>
      <c r="B119" s="89"/>
      <c r="C119" s="89"/>
      <c r="D119" s="89"/>
      <c r="E119" s="89"/>
      <c r="F119" s="89"/>
      <c r="G119" s="89"/>
      <c r="H119" s="89"/>
    </row>
    <row r="120" spans="1:8">
      <c r="A120" s="88"/>
      <c r="B120" s="89"/>
      <c r="C120" s="89"/>
      <c r="D120" s="89"/>
      <c r="E120" s="89"/>
      <c r="F120" s="89"/>
      <c r="G120" s="89"/>
      <c r="H120" s="89"/>
    </row>
    <row r="121" spans="1:8">
      <c r="A121" s="88">
        <f>A56</f>
        <v>0</v>
      </c>
      <c r="B121" s="89"/>
      <c r="C121" s="89"/>
      <c r="D121" s="89"/>
      <c r="E121" s="89"/>
      <c r="F121" s="89"/>
      <c r="G121" s="89"/>
      <c r="H121" s="89"/>
    </row>
    <row r="122" spans="1:8">
      <c r="A122" s="179"/>
      <c r="B122" s="277"/>
      <c r="C122" s="277"/>
      <c r="D122" s="277"/>
      <c r="E122" s="277"/>
      <c r="F122" s="277"/>
      <c r="G122" s="277"/>
      <c r="H122" s="277"/>
    </row>
    <row r="123" spans="1:8">
      <c r="A123" s="179"/>
      <c r="B123" s="277"/>
      <c r="C123" s="277"/>
      <c r="D123" s="277"/>
      <c r="E123" s="277"/>
      <c r="F123" s="277"/>
      <c r="G123" s="277"/>
      <c r="H123" s="277"/>
    </row>
    <row r="124" spans="1:8">
      <c r="A124" s="180" t="s">
        <v>463</v>
      </c>
      <c r="B124">
        <v>50</v>
      </c>
    </row>
    <row r="131" spans="1:10" ht="17.5">
      <c r="A131" s="416" t="s">
        <v>607</v>
      </c>
      <c r="B131" s="416"/>
      <c r="C131" s="416"/>
      <c r="D131" s="416"/>
      <c r="E131" s="416"/>
      <c r="F131" s="416"/>
      <c r="G131" s="416"/>
      <c r="H131" s="416"/>
      <c r="I131" s="416"/>
      <c r="J131" s="416"/>
    </row>
    <row r="132" spans="1:10">
      <c r="A132" s="54"/>
      <c r="B132" s="55"/>
      <c r="C132" s="55"/>
      <c r="D132" s="54"/>
      <c r="E132" s="54"/>
      <c r="F132" s="54"/>
      <c r="G132" s="54"/>
      <c r="H132" s="54"/>
    </row>
    <row r="133" spans="1:10">
      <c r="A133" s="185"/>
      <c r="B133" s="185"/>
      <c r="C133" s="185"/>
      <c r="D133" s="186">
        <v>1</v>
      </c>
      <c r="E133" s="187">
        <f t="shared" ref="E133:J133" si="22">(D133*5%)+D133</f>
        <v>1.05</v>
      </c>
      <c r="F133" s="187">
        <f t="shared" si="22"/>
        <v>1.1025</v>
      </c>
      <c r="G133" s="187">
        <f t="shared" si="22"/>
        <v>1.1576250000000001</v>
      </c>
      <c r="H133" s="187">
        <f t="shared" si="22"/>
        <v>1.2155062500000002</v>
      </c>
      <c r="I133" s="187">
        <f t="shared" si="22"/>
        <v>1.2762815625000004</v>
      </c>
      <c r="J133" s="187">
        <f t="shared" si="22"/>
        <v>1.3400956406250004</v>
      </c>
    </row>
    <row r="134" spans="1:10">
      <c r="A134" s="87"/>
      <c r="B134" s="87"/>
      <c r="C134" s="87"/>
      <c r="D134" s="87"/>
      <c r="E134" s="87"/>
      <c r="F134" s="87"/>
      <c r="G134" s="87"/>
      <c r="H134" s="87"/>
      <c r="I134" s="87"/>
      <c r="J134" s="87"/>
    </row>
    <row r="135" spans="1:10">
      <c r="A135" s="141" t="s">
        <v>0</v>
      </c>
      <c r="B135" s="141" t="s">
        <v>133</v>
      </c>
      <c r="C135" s="141" t="s">
        <v>154</v>
      </c>
      <c r="D135" s="113" t="s">
        <v>2</v>
      </c>
      <c r="E135" s="113" t="s">
        <v>3</v>
      </c>
      <c r="F135" s="113" t="s">
        <v>4</v>
      </c>
      <c r="G135" s="113" t="s">
        <v>5</v>
      </c>
      <c r="H135" s="113" t="s">
        <v>6</v>
      </c>
      <c r="I135" s="113" t="s">
        <v>171</v>
      </c>
      <c r="J135" s="113" t="s">
        <v>170</v>
      </c>
    </row>
    <row r="136" spans="1:10">
      <c r="A136" s="88"/>
      <c r="B136" s="88"/>
      <c r="C136" s="88"/>
      <c r="D136" s="88"/>
      <c r="E136" s="88"/>
      <c r="F136" s="88"/>
      <c r="G136" s="88"/>
      <c r="H136" s="88"/>
      <c r="I136" s="88"/>
      <c r="J136" s="88"/>
    </row>
    <row r="137" spans="1:10">
      <c r="A137" s="90" t="s">
        <v>127</v>
      </c>
      <c r="B137" s="90"/>
      <c r="C137" s="90"/>
      <c r="D137" s="107"/>
      <c r="E137" s="107"/>
      <c r="F137" s="107"/>
      <c r="G137" s="107"/>
      <c r="H137" s="107"/>
      <c r="I137" s="88"/>
      <c r="J137" s="88"/>
    </row>
    <row r="138" spans="1:10">
      <c r="A138" s="90" t="s">
        <v>322</v>
      </c>
      <c r="B138" s="90"/>
      <c r="C138" s="90"/>
      <c r="D138" s="88"/>
      <c r="E138" s="88"/>
      <c r="F138" s="88"/>
      <c r="G138" s="88"/>
      <c r="H138" s="88"/>
      <c r="I138" s="88"/>
      <c r="J138" s="88"/>
    </row>
    <row r="139" spans="1:10">
      <c r="A139" s="88" t="s">
        <v>165</v>
      </c>
      <c r="B139" s="217" t="s">
        <v>368</v>
      </c>
      <c r="C139" s="217">
        <v>3050</v>
      </c>
      <c r="D139" s="89">
        <f>(((B95*100)*(1-'5.Closing Stock &amp; W Capital'!$D$17))/$B$124)*$C$139*D133</f>
        <v>24629120.880000003</v>
      </c>
      <c r="E139" s="89">
        <f>E133*((((C95*100)*(1-'5.Closing Stock &amp; W Capital'!$D$17))+((B95*100)*'5.Closing Stock &amp; W Capital'!$D$17))/$B$124)*$C$139</f>
        <v>27960533.546399996</v>
      </c>
      <c r="F139" s="89">
        <f>F133*((((D95*100)*(1-'5.Closing Stock &amp; W Capital'!$D$17))+((C95*100)*'5.Closing Stock &amp; W Capital'!$D$17))/$B$124)*$C$139</f>
        <v>30175210.021319997</v>
      </c>
      <c r="G139" s="89">
        <f>G133*((((E95*100)*(1-'5.Closing Stock &amp; W Capital'!$D$17))+((D95*100)*'5.Closing Stock &amp; W Capital'!$D$17))/$B$124)*$C$139</f>
        <v>32541452.809866007</v>
      </c>
      <c r="H139" s="89">
        <f>H133*((((F95*100)*(1-'5.Closing Stock &amp; W Capital'!$D$17))+((E95*100)*'5.Closing Stock &amp; W Capital'!$D$17))/$B$124)*$C$139</f>
        <v>35068881.852213301</v>
      </c>
      <c r="I139" s="89">
        <f>I133*((((G95*100)*(1-'5.Closing Stock &amp; W Capital'!$D$17))+((F95*100)*'5.Closing Stock &amp; W Capital'!$D$17))/$B$124)*$C$139</f>
        <v>37767700.166770667</v>
      </c>
      <c r="J139" s="89">
        <f>J133*((((H95*100)*(1-'5.Closing Stock &amp; W Capital'!$D$17))+((G95*100)*'5.Closing Stock &amp; W Capital'!$D$17))/$B$124)*$C$139</f>
        <v>40648728.108153239</v>
      </c>
    </row>
    <row r="140" spans="1:10">
      <c r="A140" s="88" t="s">
        <v>166</v>
      </c>
      <c r="B140" s="217" t="s">
        <v>368</v>
      </c>
      <c r="C140" s="217">
        <v>4800</v>
      </c>
      <c r="D140" s="89">
        <f>(((B63*100)*(1-'5.Closing Stock &amp; W Capital'!$D$17))/B124)*$C$140*D133</f>
        <v>31945535.999999993</v>
      </c>
      <c r="E140" s="89">
        <f>((((C63*100)*(1-'5.Closing Stock &amp; W Capital'!$D$17))+((B63*100)*'5.Closing Stock &amp; W Capital'!$D$17))/$B$124)*$C$140*E133</f>
        <v>36266590.079999998</v>
      </c>
      <c r="F140" s="89">
        <f>((((D63*100)*(1-'5.Closing Stock &amp; W Capital'!$D$17))+((C63*100)*'5.Closing Stock &amp; W Capital'!$D$17))/$B$124)*$C$140*F133</f>
        <v>39139166.304000005</v>
      </c>
      <c r="G140" s="89">
        <f>((((E63*100)*(1-'5.Closing Stock &amp; W Capital'!$D$17))+((D63*100)*'5.Closing Stock &amp; W Capital'!$D$17))/$B$124)*$C$140*G133</f>
        <v>42208333.675200008</v>
      </c>
      <c r="H140" s="89">
        <f>((((F63*100)*(1-'5.Closing Stock &amp; W Capital'!$D$17))+((E63*100)*'5.Closing Stock &amp; W Capital'!$D$17))/$B$124)*$C$140*H133</f>
        <v>45486569.86776001</v>
      </c>
      <c r="I140" s="89">
        <f>((((G63*100)*(1-'5.Closing Stock &amp; W Capital'!$D$17))+((F63*100)*'5.Closing Stock &amp; W Capital'!$D$17))/$B$124)*$C$140*I133</f>
        <v>48987108.845388018</v>
      </c>
      <c r="J140" s="89">
        <f>((((H63*100)*(1-'5.Closing Stock &amp; W Capital'!$D$17))+((G63*100)*'5.Closing Stock &amp; W Capital'!$D$17))/$B$124)*$C$140*J133</f>
        <v>52723985.296109416</v>
      </c>
    </row>
    <row r="141" spans="1:10">
      <c r="A141" s="88" t="s">
        <v>323</v>
      </c>
      <c r="B141" s="217" t="s">
        <v>368</v>
      </c>
      <c r="C141" s="217">
        <v>4750</v>
      </c>
      <c r="D141" s="89">
        <f>(((B78*100)*(1-'5.Closing Stock &amp; W Capital'!D17))/$B$124)*$C$141*D133</f>
        <v>6322553.9999999991</v>
      </c>
      <c r="E141" s="89">
        <f>((((C78*100)*(1-'5.Closing Stock &amp; W Capital'!$D$17))+((B78*100)*'5.Closing Stock &amp; W Capital'!$D$17))/$B$124)*$C$141*E133</f>
        <v>7177762.620000001</v>
      </c>
      <c r="F141" s="89">
        <f>((((D78*100)*(1-'5.Closing Stock &amp; W Capital'!$D$17))+((C78*100)*'5.Closing Stock &amp; W Capital'!$D$17))/$B$124)*$C$141*F133</f>
        <v>7746293.3310000002</v>
      </c>
      <c r="G141" s="89">
        <f>((((E78*100)*(1-'5.Closing Stock &amp; W Capital'!$D$17))+((D78*100)*'5.Closing Stock &amp; W Capital'!$D$17))/$B$124)*$C$141*G133</f>
        <v>8353732.7065500002</v>
      </c>
      <c r="H141" s="89">
        <f>((((F78*100)*(1-'5.Closing Stock &amp; W Capital'!$D$17))+((E78*100)*'5.Closing Stock &amp; W Capital'!$D$17))/$B$124)*$C$141*H133</f>
        <v>9002550.2863274999</v>
      </c>
      <c r="I141" s="89">
        <f>((((G78*100)*(1-'5.Closing Stock &amp; W Capital'!$D$17))+((F78*100)*'5.Closing Stock &amp; W Capital'!$D$17))/$B$124)*$C$141*I133</f>
        <v>9695365.2923163772</v>
      </c>
      <c r="J141" s="89">
        <f>((((H78*100)*(1-'5.Closing Stock &amp; W Capital'!$D$17))+((G78*100)*'5.Closing Stock &amp; W Capital'!$D$17))/$B$124)*$C$141*J133</f>
        <v>10434955.423188321</v>
      </c>
    </row>
    <row r="142" spans="1:10">
      <c r="A142" s="88" t="s">
        <v>321</v>
      </c>
      <c r="B142" s="217" t="s">
        <v>368</v>
      </c>
      <c r="C142" s="217">
        <v>4700</v>
      </c>
      <c r="D142" s="89">
        <f>(((B70*100)*(1-'5.Closing Stock &amp; W Capital'!D17))/B124)*$C$142*D133</f>
        <v>5004800.6399999997</v>
      </c>
      <c r="E142" s="89">
        <f>((((C70*100)*(1-'5.Closing Stock &amp; W Capital'!$D$17))+((B70*100)*'5.Closing Stock &amp; W Capital'!$D$17))/$B$124)*$C$142*E133</f>
        <v>5681765.7791999998</v>
      </c>
      <c r="F142" s="89">
        <f>((((D70*100)*(1-'5.Closing Stock &amp; W Capital'!$D$17))+((C70*100)*'5.Closing Stock &amp; W Capital'!$D$17))/$B$124)*$C$142*F133</f>
        <v>6131802.7209600005</v>
      </c>
      <c r="G142" s="89">
        <f>((((E70*100)*(1-'5.Closing Stock &amp; W Capital'!$D$17))+((D70*100)*'5.Closing Stock &amp; W Capital'!$D$17))/$B$124)*$C$142*G133</f>
        <v>6612638.9424480032</v>
      </c>
      <c r="H142" s="89">
        <f>((((F70*100)*(1-'5.Closing Stock &amp; W Capital'!$D$17))+((E70*100)*'5.Closing Stock &amp; W Capital'!$D$17))/$B$124)*$C$142*H133</f>
        <v>7126229.2792824022</v>
      </c>
      <c r="I142" s="89">
        <f>((((G70*100)*(1-'5.Closing Stock &amp; W Capital'!$D$17))+((F70*100)*'5.Closing Stock &amp; W Capital'!$D$17))/$B$124)*$C$142*I133</f>
        <v>7674647.0524441218</v>
      </c>
      <c r="J142" s="89">
        <f>((((H70*100)*(1-'5.Closing Stock &amp; W Capital'!$D$17))+((G70*100)*'5.Closing Stock &amp; W Capital'!$D$17))/$B$124)*$C$142*J133</f>
        <v>8260091.0297238091</v>
      </c>
    </row>
    <row r="143" spans="1:10">
      <c r="A143" s="88"/>
      <c r="B143" s="88"/>
      <c r="C143" s="88"/>
      <c r="D143" s="89"/>
      <c r="E143" s="89"/>
      <c r="F143" s="89"/>
      <c r="G143" s="89"/>
      <c r="H143" s="89"/>
      <c r="I143" s="89"/>
      <c r="J143" s="89"/>
    </row>
    <row r="144" spans="1:10">
      <c r="A144" s="90" t="s">
        <v>142</v>
      </c>
      <c r="B144" s="219" t="s">
        <v>369</v>
      </c>
      <c r="C144" s="219">
        <v>10</v>
      </c>
      <c r="D144" s="89">
        <f>((B64+B96+B79+B71)*100)*$C$144*D133</f>
        <v>2253468</v>
      </c>
      <c r="E144" s="89">
        <f t="shared" ref="E144:J144" si="23">((C64+C96+C79+C71)*100)*$C$144*E133</f>
        <v>2433745.44</v>
      </c>
      <c r="F144" s="89">
        <f t="shared" si="23"/>
        <v>2626416.9539999994</v>
      </c>
      <c r="G144" s="89">
        <f t="shared" si="23"/>
        <v>2832271.2558000009</v>
      </c>
      <c r="H144" s="89">
        <f t="shared" si="23"/>
        <v>3052144.9453950007</v>
      </c>
      <c r="I144" s="89">
        <f t="shared" si="23"/>
        <v>3286925.3258100008</v>
      </c>
      <c r="J144" s="89">
        <f t="shared" si="23"/>
        <v>3537553.3819030127</v>
      </c>
    </row>
    <row r="145" spans="1:11">
      <c r="A145" s="88"/>
      <c r="B145" s="217"/>
      <c r="C145" s="217"/>
      <c r="D145" s="89"/>
      <c r="E145" s="89"/>
      <c r="F145" s="89"/>
      <c r="G145" s="89"/>
      <c r="H145" s="89"/>
      <c r="I145" s="89"/>
      <c r="J145" s="89"/>
      <c r="K145" s="56">
        <f>[2]Output!T58*70*K133</f>
        <v>0</v>
      </c>
    </row>
    <row r="146" spans="1:11">
      <c r="A146" s="90" t="s">
        <v>298</v>
      </c>
      <c r="B146" s="219" t="s">
        <v>369</v>
      </c>
      <c r="C146" s="217">
        <v>3</v>
      </c>
      <c r="D146" s="89">
        <f t="shared" ref="D146:J146" si="24">(B35*100)*$C$146*D133</f>
        <v>2253468</v>
      </c>
      <c r="E146" s="89">
        <f t="shared" si="24"/>
        <v>2433745.44</v>
      </c>
      <c r="F146" s="89">
        <f t="shared" si="24"/>
        <v>2626416.9539999994</v>
      </c>
      <c r="G146" s="89">
        <f t="shared" si="24"/>
        <v>2832271.2558000009</v>
      </c>
      <c r="H146" s="89">
        <f t="shared" si="24"/>
        <v>3052144.9453950003</v>
      </c>
      <c r="I146" s="89">
        <f t="shared" si="24"/>
        <v>3286925.3258100008</v>
      </c>
      <c r="J146" s="89">
        <f t="shared" si="24"/>
        <v>3537553.3819030132</v>
      </c>
    </row>
    <row r="147" spans="1:11">
      <c r="A147" s="88"/>
      <c r="B147" s="88"/>
      <c r="C147" s="88"/>
      <c r="D147" s="89"/>
      <c r="E147" s="89"/>
      <c r="F147" s="89"/>
      <c r="G147" s="89"/>
      <c r="H147" s="89"/>
      <c r="I147" s="89"/>
      <c r="J147" s="89"/>
    </row>
    <row r="148" spans="1:11">
      <c r="A148" s="90" t="s">
        <v>127</v>
      </c>
      <c r="B148" s="90"/>
      <c r="C148" s="90"/>
      <c r="D148" s="108">
        <f>SUM(D139:D146)</f>
        <v>72408947.519999996</v>
      </c>
      <c r="E148" s="108">
        <f t="shared" ref="E148:J148" si="25">SUM(E139:E146)</f>
        <v>81954142.905599996</v>
      </c>
      <c r="F148" s="108">
        <f t="shared" si="25"/>
        <v>88445306.285280004</v>
      </c>
      <c r="G148" s="108">
        <f t="shared" si="25"/>
        <v>95380700.645664006</v>
      </c>
      <c r="H148" s="108">
        <f t="shared" si="25"/>
        <v>102788521.17637321</v>
      </c>
      <c r="I148" s="108">
        <f t="shared" si="25"/>
        <v>110698672.00853918</v>
      </c>
      <c r="J148" s="108">
        <f t="shared" si="25"/>
        <v>119142866.62098081</v>
      </c>
    </row>
    <row r="149" spans="1:11">
      <c r="A149" s="88"/>
      <c r="B149" s="88"/>
      <c r="C149" s="88"/>
      <c r="D149" s="89"/>
      <c r="E149" s="89"/>
      <c r="F149" s="89"/>
      <c r="G149" s="89"/>
      <c r="H149" s="89"/>
      <c r="I149" s="89"/>
      <c r="J149" s="89"/>
    </row>
    <row r="150" spans="1:11">
      <c r="A150" s="90" t="s">
        <v>143</v>
      </c>
      <c r="B150" s="90"/>
      <c r="C150" s="90"/>
      <c r="D150" s="89"/>
      <c r="E150" s="89"/>
      <c r="F150" s="89"/>
      <c r="G150" s="89"/>
      <c r="H150" s="89"/>
      <c r="I150" s="89"/>
      <c r="J150" s="89"/>
    </row>
    <row r="151" spans="1:11">
      <c r="A151" s="90" t="s">
        <v>316</v>
      </c>
      <c r="B151" s="90"/>
      <c r="C151" s="88"/>
      <c r="D151" s="89"/>
      <c r="E151" s="89"/>
      <c r="F151" s="89"/>
      <c r="G151" s="89"/>
      <c r="H151" s="89"/>
      <c r="I151" s="89"/>
      <c r="J151" s="89"/>
    </row>
    <row r="152" spans="1:11">
      <c r="A152" s="92" t="s">
        <v>165</v>
      </c>
      <c r="B152" s="217" t="s">
        <v>370</v>
      </c>
      <c r="C152" s="229">
        <v>5400</v>
      </c>
      <c r="D152" s="89">
        <f t="shared" ref="D152:J152" si="26">(B47)*$C$152*D133</f>
        <v>11349072</v>
      </c>
      <c r="E152" s="89">
        <f t="shared" si="26"/>
        <v>12256997.759999998</v>
      </c>
      <c r="F152" s="89">
        <f t="shared" si="26"/>
        <v>13227343.415999999</v>
      </c>
      <c r="G152" s="89">
        <f t="shared" si="26"/>
        <v>14264081.143200001</v>
      </c>
      <c r="H152" s="89">
        <f t="shared" si="26"/>
        <v>15371424.284580003</v>
      </c>
      <c r="I152" s="89">
        <f t="shared" si="26"/>
        <v>16553841.537240004</v>
      </c>
      <c r="J152" s="89">
        <f t="shared" si="26"/>
        <v>17816071.954454556</v>
      </c>
    </row>
    <row r="153" spans="1:11">
      <c r="A153" s="88" t="s">
        <v>324</v>
      </c>
      <c r="B153" s="217" t="s">
        <v>370</v>
      </c>
      <c r="C153" s="229">
        <v>7500</v>
      </c>
      <c r="D153" s="89">
        <f t="shared" ref="D153:J153" si="27">(B38)*$C$153*D133</f>
        <v>32838749.999999993</v>
      </c>
      <c r="E153" s="89">
        <f t="shared" si="27"/>
        <v>35465849.999999993</v>
      </c>
      <c r="F153" s="89">
        <f t="shared" si="27"/>
        <v>38273563.125</v>
      </c>
      <c r="G153" s="89">
        <f t="shared" si="27"/>
        <v>41273382.937500007</v>
      </c>
      <c r="H153" s="89">
        <f t="shared" si="27"/>
        <v>44477500.823437512</v>
      </c>
      <c r="I153" s="89">
        <f t="shared" si="27"/>
        <v>47898847.040625013</v>
      </c>
      <c r="J153" s="89">
        <f t="shared" si="27"/>
        <v>51551134.127472661</v>
      </c>
    </row>
    <row r="154" spans="1:11">
      <c r="A154" s="88" t="s">
        <v>325</v>
      </c>
      <c r="B154" s="217" t="s">
        <v>370</v>
      </c>
      <c r="C154" s="229">
        <v>7400</v>
      </c>
      <c r="D154" s="89">
        <f t="shared" ref="D154:J154" si="28">(B42)*$C$154*D133</f>
        <v>6480179.9999999991</v>
      </c>
      <c r="E154" s="89">
        <f t="shared" si="28"/>
        <v>6998594.4000000004</v>
      </c>
      <c r="F154" s="89">
        <f t="shared" si="28"/>
        <v>7552649.79</v>
      </c>
      <c r="G154" s="89">
        <f t="shared" si="28"/>
        <v>8144614.233</v>
      </c>
      <c r="H154" s="89">
        <f t="shared" si="28"/>
        <v>8776893.495825002</v>
      </c>
      <c r="I154" s="89">
        <f t="shared" si="28"/>
        <v>9452039.1493500024</v>
      </c>
      <c r="J154" s="89">
        <f t="shared" si="28"/>
        <v>10172757.13448794</v>
      </c>
    </row>
    <row r="155" spans="1:11">
      <c r="A155" s="88" t="s">
        <v>321</v>
      </c>
      <c r="B155" s="217" t="s">
        <v>370</v>
      </c>
      <c r="C155" s="229">
        <v>7400</v>
      </c>
      <c r="D155" s="89">
        <f t="shared" ref="D155:J155" si="29">(B40)*$C$155*D133</f>
        <v>5184144</v>
      </c>
      <c r="E155" s="89">
        <f t="shared" si="29"/>
        <v>5598875.5200000005</v>
      </c>
      <c r="F155" s="89">
        <f t="shared" si="29"/>
        <v>6042119.8320000004</v>
      </c>
      <c r="G155" s="89">
        <f t="shared" si="29"/>
        <v>6515691.3864000011</v>
      </c>
      <c r="H155" s="89">
        <f t="shared" si="29"/>
        <v>7021514.7966600005</v>
      </c>
      <c r="I155" s="89">
        <f t="shared" si="29"/>
        <v>7561631.3194800019</v>
      </c>
      <c r="J155" s="89">
        <f t="shared" si="29"/>
        <v>8138205.7075903518</v>
      </c>
    </row>
    <row r="156" spans="1:11">
      <c r="A156" s="88" t="s">
        <v>371</v>
      </c>
      <c r="B156" s="217">
        <v>2</v>
      </c>
      <c r="C156" s="217">
        <v>100</v>
      </c>
      <c r="D156" s="89">
        <f t="shared" ref="D156:J156" si="30">(B32/10)*$B$156*$C$156*D133</f>
        <v>375578</v>
      </c>
      <c r="E156" s="89">
        <f t="shared" si="30"/>
        <v>405624.24</v>
      </c>
      <c r="F156" s="89">
        <f t="shared" si="30"/>
        <v>437736.15899999993</v>
      </c>
      <c r="G156" s="89">
        <f t="shared" si="30"/>
        <v>472045.2093000001</v>
      </c>
      <c r="H156" s="89">
        <f t="shared" si="30"/>
        <v>508690.82423250005</v>
      </c>
      <c r="I156" s="89">
        <f t="shared" si="30"/>
        <v>547820.88763500017</v>
      </c>
      <c r="J156" s="89">
        <f t="shared" si="30"/>
        <v>589592.23031716875</v>
      </c>
    </row>
    <row r="157" spans="1:11">
      <c r="A157" s="88" t="s">
        <v>326</v>
      </c>
      <c r="B157" s="217">
        <v>8</v>
      </c>
      <c r="C157" s="217">
        <v>300</v>
      </c>
      <c r="D157" s="89">
        <f t="shared" ref="D157:J157" si="31">B12*$B$157*$C$157*D133</f>
        <v>512151.81818181812</v>
      </c>
      <c r="E157" s="89">
        <f t="shared" si="31"/>
        <v>553123.96363636351</v>
      </c>
      <c r="F157" s="89">
        <f t="shared" si="31"/>
        <v>596912.94409090898</v>
      </c>
      <c r="G157" s="89">
        <f t="shared" si="31"/>
        <v>643698.01268181822</v>
      </c>
      <c r="H157" s="89">
        <f t="shared" si="31"/>
        <v>693669.30577159091</v>
      </c>
      <c r="I157" s="89">
        <f t="shared" si="31"/>
        <v>747028.48313863657</v>
      </c>
      <c r="J157" s="89">
        <f t="shared" si="31"/>
        <v>803989.40497795749</v>
      </c>
    </row>
    <row r="158" spans="1:11">
      <c r="A158" s="88" t="s">
        <v>145</v>
      </c>
      <c r="B158" s="88">
        <f>'2.Capex Details'!H74*0.746*8</f>
        <v>2002.2639999999999</v>
      </c>
      <c r="C158" s="217">
        <v>8</v>
      </c>
      <c r="D158" s="89">
        <f t="shared" ref="D158:J158" si="32">$B$158*$C$158*B12*D133</f>
        <v>3418210.4935999997</v>
      </c>
      <c r="E158" s="89">
        <f t="shared" si="32"/>
        <v>3691667.3330879998</v>
      </c>
      <c r="F158" s="89">
        <f t="shared" si="32"/>
        <v>3983924.330290799</v>
      </c>
      <c r="G158" s="89">
        <f t="shared" si="32"/>
        <v>4296177.8588811597</v>
      </c>
      <c r="H158" s="89">
        <f t="shared" si="32"/>
        <v>4629696.9295048295</v>
      </c>
      <c r="I158" s="89">
        <f t="shared" si="32"/>
        <v>4985827.4625436626</v>
      </c>
      <c r="J158" s="89">
        <f t="shared" si="32"/>
        <v>5365996.8065626165</v>
      </c>
    </row>
    <row r="159" spans="1:11">
      <c r="A159" s="88" t="s">
        <v>299</v>
      </c>
      <c r="B159" s="88"/>
      <c r="C159" s="217">
        <v>15</v>
      </c>
      <c r="D159" s="89">
        <f t="shared" ref="D159:J159" si="33">((B35*100)/50)*$C$159*D133</f>
        <v>225346.80000000002</v>
      </c>
      <c r="E159" s="89">
        <f t="shared" si="33"/>
        <v>243374.54399999997</v>
      </c>
      <c r="F159" s="89">
        <f t="shared" si="33"/>
        <v>262641.69539999997</v>
      </c>
      <c r="G159" s="89">
        <f t="shared" si="33"/>
        <v>283227.12558000005</v>
      </c>
      <c r="H159" s="89">
        <f t="shared" si="33"/>
        <v>305214.49453950004</v>
      </c>
      <c r="I159" s="89">
        <f t="shared" si="33"/>
        <v>328692.53258100006</v>
      </c>
      <c r="J159" s="89">
        <f t="shared" si="33"/>
        <v>353755.33819030138</v>
      </c>
    </row>
    <row r="160" spans="1:11">
      <c r="A160" s="102" t="s">
        <v>300</v>
      </c>
      <c r="B160" s="102"/>
      <c r="C160" s="231">
        <v>20</v>
      </c>
      <c r="D160" s="89">
        <f t="shared" ref="D160:J160" si="34">(((B78+B69+B95+B63)*100)/50)*$C$160*D133</f>
        <v>338136.95999999996</v>
      </c>
      <c r="E160" s="89">
        <f t="shared" si="34"/>
        <v>365187.91679999995</v>
      </c>
      <c r="F160" s="89">
        <f t="shared" si="34"/>
        <v>394098.62688000005</v>
      </c>
      <c r="G160" s="89">
        <f t="shared" si="34"/>
        <v>424987.43817600008</v>
      </c>
      <c r="H160" s="89">
        <f t="shared" si="34"/>
        <v>457979.88403440011</v>
      </c>
      <c r="I160" s="89">
        <f t="shared" si="34"/>
        <v>493209.10588320013</v>
      </c>
      <c r="J160" s="89">
        <f t="shared" si="34"/>
        <v>530816.30020679417</v>
      </c>
    </row>
    <row r="161" spans="1:10">
      <c r="A161" s="88" t="s">
        <v>301</v>
      </c>
      <c r="B161" s="88"/>
      <c r="C161" s="217">
        <v>85</v>
      </c>
      <c r="D161" s="89">
        <f t="shared" ref="D161:J161" si="35">(((B78+B69+B95+B63)*100)/50)*$C$161*D133</f>
        <v>1437082.0799999998</v>
      </c>
      <c r="E161" s="89">
        <f t="shared" si="35"/>
        <v>1552048.6463999997</v>
      </c>
      <c r="F161" s="89">
        <f t="shared" si="35"/>
        <v>1674919.1642400001</v>
      </c>
      <c r="G161" s="89">
        <f t="shared" si="35"/>
        <v>1806196.6122480005</v>
      </c>
      <c r="H161" s="89">
        <f t="shared" si="35"/>
        <v>1946414.5071462002</v>
      </c>
      <c r="I161" s="89">
        <f t="shared" si="35"/>
        <v>2096138.7000036007</v>
      </c>
      <c r="J161" s="89">
        <f t="shared" si="35"/>
        <v>2255969.2758788751</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88" t="s">
        <v>349</v>
      </c>
      <c r="B166" s="89"/>
      <c r="C166" s="89"/>
      <c r="D166" s="89"/>
      <c r="E166" s="89">
        <f>'5.Closing Stock &amp; W Capital'!F8</f>
        <v>3036078.5035890904</v>
      </c>
      <c r="F166" s="89">
        <f>'5.Closing Stock &amp; W Capital'!G8</f>
        <v>3278964.7838762179</v>
      </c>
      <c r="G166" s="89">
        <f>'5.Closing Stock &amp; W Capital'!H8</f>
        <v>3538549.4959330857</v>
      </c>
      <c r="H166" s="89">
        <f>'5.Closing Stock &amp; W Capital'!I8</f>
        <v>3815895.2672359496</v>
      </c>
      <c r="I166" s="89">
        <f>'5.Closing Stock &amp; W Capital'!J8</f>
        <v>4112129.2419292675</v>
      </c>
      <c r="J166" s="89">
        <f>'5.Closing Stock &amp; W Capital'!K8</f>
        <v>4428446.8759238264</v>
      </c>
    </row>
    <row r="167" spans="1:10">
      <c r="A167" s="188" t="s">
        <v>350</v>
      </c>
      <c r="B167" s="89"/>
      <c r="C167" s="89"/>
      <c r="D167" s="89">
        <f>'5.Closing Stock &amp; W Capital'!E17</f>
        <v>3036078.5035890904</v>
      </c>
      <c r="E167" s="89">
        <f>'5.Closing Stock &amp; W Capital'!F17</f>
        <v>3278964.7838762179</v>
      </c>
      <c r="F167" s="89">
        <f>'5.Closing Stock &amp; W Capital'!G17</f>
        <v>3538549.4959330857</v>
      </c>
      <c r="G167" s="89">
        <f>'5.Closing Stock &amp; W Capital'!H17</f>
        <v>3815895.2672359496</v>
      </c>
      <c r="H167" s="89">
        <f>'5.Closing Stock &amp; W Capital'!I17</f>
        <v>4112129.2419292675</v>
      </c>
      <c r="I167" s="89">
        <f>'5.Closing Stock &amp; W Capital'!J17</f>
        <v>4428446.8759238264</v>
      </c>
      <c r="J167" s="89">
        <f>'5.Closing Stock &amp; W Capital'!K17</f>
        <v>4766115.9502130179</v>
      </c>
    </row>
    <row r="168" spans="1:10">
      <c r="A168" s="89"/>
      <c r="B168" s="89"/>
      <c r="C168" s="89"/>
      <c r="D168" s="89"/>
      <c r="E168" s="89"/>
      <c r="F168" s="89"/>
      <c r="G168" s="89"/>
      <c r="H168" s="89"/>
      <c r="I168" s="89"/>
      <c r="J168" s="89"/>
    </row>
    <row r="169" spans="1:10">
      <c r="A169" s="108" t="s">
        <v>327</v>
      </c>
      <c r="B169" s="89"/>
      <c r="C169" s="89"/>
      <c r="D169" s="108">
        <f t="shared" ref="D169:J169" si="36">SUM(D152:D166)-D167</f>
        <v>59122573.648192711</v>
      </c>
      <c r="E169" s="108">
        <f t="shared" si="36"/>
        <v>66888458.043637238</v>
      </c>
      <c r="F169" s="108">
        <f t="shared" si="36"/>
        <v>72186324.370844841</v>
      </c>
      <c r="G169" s="108">
        <f t="shared" si="36"/>
        <v>77846756.185664132</v>
      </c>
      <c r="H169" s="108">
        <f t="shared" si="36"/>
        <v>83892765.371038228</v>
      </c>
      <c r="I169" s="108">
        <f t="shared" si="36"/>
        <v>90348758.584485561</v>
      </c>
      <c r="J169" s="108">
        <f t="shared" si="36"/>
        <v>97240619.20585005</v>
      </c>
    </row>
    <row r="170" spans="1:10">
      <c r="A170" s="87"/>
      <c r="B170" s="87"/>
      <c r="C170" s="87"/>
      <c r="D170" s="87"/>
      <c r="E170" s="87"/>
      <c r="F170" s="87"/>
      <c r="G170" s="87"/>
      <c r="H170" s="87"/>
      <c r="I170" s="87"/>
      <c r="J170" s="87"/>
    </row>
    <row r="171" spans="1:10">
      <c r="A171" s="189" t="s">
        <v>314</v>
      </c>
      <c r="B171" s="189"/>
      <c r="C171" s="189"/>
      <c r="D171" s="108"/>
      <c r="E171" s="108"/>
      <c r="F171" s="108"/>
      <c r="G171" s="108"/>
      <c r="H171" s="108"/>
      <c r="I171" s="108"/>
      <c r="J171" s="108"/>
    </row>
    <row r="172" spans="1:10">
      <c r="A172" s="88" t="s">
        <v>190</v>
      </c>
      <c r="B172" s="217">
        <v>8</v>
      </c>
      <c r="C172" s="229">
        <v>28500</v>
      </c>
      <c r="D172" s="89">
        <f t="shared" ref="D172:J172" si="37">$B$172*$C$172*12*D133</f>
        <v>2736000</v>
      </c>
      <c r="E172" s="89">
        <f t="shared" si="37"/>
        <v>2872800</v>
      </c>
      <c r="F172" s="89">
        <f t="shared" si="37"/>
        <v>3016440</v>
      </c>
      <c r="G172" s="89">
        <f t="shared" si="37"/>
        <v>3167262.0000000005</v>
      </c>
      <c r="H172" s="89">
        <f t="shared" si="37"/>
        <v>3325625.1000000006</v>
      </c>
      <c r="I172" s="89">
        <f t="shared" si="37"/>
        <v>3491906.3550000009</v>
      </c>
      <c r="J172" s="89">
        <f t="shared" si="37"/>
        <v>3666501.6727500013</v>
      </c>
    </row>
    <row r="173" spans="1:10">
      <c r="A173" s="88" t="s">
        <v>717</v>
      </c>
      <c r="B173" s="217">
        <v>8</v>
      </c>
      <c r="C173" s="229">
        <v>15000</v>
      </c>
      <c r="D173" s="89">
        <f>B173*C173*12*D133</f>
        <v>1440000</v>
      </c>
      <c r="E173" s="89">
        <f t="shared" ref="E173:J173" si="38">$B$173*$C$173*12*E133</f>
        <v>1512000</v>
      </c>
      <c r="F173" s="89">
        <f t="shared" si="38"/>
        <v>1587600</v>
      </c>
      <c r="G173" s="89">
        <f t="shared" si="38"/>
        <v>1666980.0000000002</v>
      </c>
      <c r="H173" s="89">
        <f t="shared" si="38"/>
        <v>1750329.0000000002</v>
      </c>
      <c r="I173" s="89">
        <f t="shared" si="38"/>
        <v>1837845.4500000004</v>
      </c>
      <c r="J173" s="89">
        <f t="shared" si="38"/>
        <v>1929737.7225000006</v>
      </c>
    </row>
    <row r="174" spans="1:10">
      <c r="A174" s="88"/>
      <c r="B174" s="217"/>
      <c r="C174" s="229"/>
      <c r="D174" s="89"/>
      <c r="E174" s="89"/>
      <c r="F174" s="89"/>
      <c r="G174" s="89"/>
      <c r="H174" s="89"/>
      <c r="I174" s="89"/>
      <c r="J174" s="89"/>
    </row>
    <row r="175" spans="1:10">
      <c r="A175" s="88"/>
      <c r="B175" s="217"/>
      <c r="C175" s="229"/>
      <c r="D175" s="89"/>
      <c r="E175" s="89"/>
      <c r="F175" s="89"/>
      <c r="G175" s="89"/>
      <c r="H175" s="89"/>
      <c r="I175" s="89"/>
      <c r="J175" s="89"/>
    </row>
    <row r="176" spans="1:10">
      <c r="A176" s="88"/>
      <c r="B176" s="217"/>
      <c r="C176" s="229"/>
      <c r="D176" s="89"/>
      <c r="E176" s="89"/>
      <c r="F176" s="89"/>
      <c r="G176" s="89"/>
      <c r="H176" s="89"/>
      <c r="I176" s="89"/>
      <c r="J176" s="89"/>
    </row>
    <row r="177" spans="1:10">
      <c r="A177" s="90" t="s">
        <v>314</v>
      </c>
      <c r="B177" s="90"/>
      <c r="C177" s="90"/>
      <c r="D177" s="108">
        <f t="shared" ref="D177:J177" si="39">SUM(D172:D176)</f>
        <v>4176000</v>
      </c>
      <c r="E177" s="108">
        <f t="shared" si="39"/>
        <v>4384800</v>
      </c>
      <c r="F177" s="108">
        <f t="shared" si="39"/>
        <v>4604040</v>
      </c>
      <c r="G177" s="108">
        <f t="shared" si="39"/>
        <v>4834242.0000000009</v>
      </c>
      <c r="H177" s="108">
        <f t="shared" si="39"/>
        <v>5075954.1000000006</v>
      </c>
      <c r="I177" s="108">
        <f t="shared" si="39"/>
        <v>5329751.8050000016</v>
      </c>
      <c r="J177" s="108">
        <f t="shared" si="39"/>
        <v>5596239.3952500019</v>
      </c>
    </row>
    <row r="178" spans="1:10">
      <c r="A178" s="189" t="s">
        <v>302</v>
      </c>
      <c r="B178" s="189"/>
      <c r="C178" s="189"/>
      <c r="D178" s="108">
        <f t="shared" ref="D178:J178" si="40">D169+D177</f>
        <v>63298573.648192711</v>
      </c>
      <c r="E178" s="108">
        <f t="shared" si="40"/>
        <v>71273258.043637246</v>
      </c>
      <c r="F178" s="108">
        <f t="shared" si="40"/>
        <v>76790364.370844841</v>
      </c>
      <c r="G178" s="108">
        <f t="shared" si="40"/>
        <v>82680998.185664132</v>
      </c>
      <c r="H178" s="108">
        <f t="shared" si="40"/>
        <v>88968719.471038222</v>
      </c>
      <c r="I178" s="108">
        <f t="shared" si="40"/>
        <v>95678510.389485568</v>
      </c>
      <c r="J178" s="108">
        <f t="shared" si="40"/>
        <v>102836858.60110006</v>
      </c>
    </row>
    <row r="179" spans="1:10">
      <c r="A179" s="88"/>
      <c r="B179" s="88"/>
      <c r="C179" s="88"/>
      <c r="D179" s="89"/>
      <c r="E179" s="89"/>
      <c r="F179" s="89"/>
      <c r="G179" s="89"/>
      <c r="H179" s="89"/>
      <c r="I179" s="89"/>
      <c r="J179" s="89"/>
    </row>
    <row r="180" spans="1:10">
      <c r="A180" s="90" t="s">
        <v>7</v>
      </c>
      <c r="B180" s="90"/>
      <c r="C180" s="90"/>
      <c r="D180" s="108">
        <f t="shared" ref="D180:J180" si="41">D148-D178</f>
        <v>9110373.8718072847</v>
      </c>
      <c r="E180" s="108">
        <f t="shared" si="41"/>
        <v>10680884.861962751</v>
      </c>
      <c r="F180" s="108">
        <f t="shared" si="41"/>
        <v>11654941.914435163</v>
      </c>
      <c r="G180" s="108">
        <f t="shared" si="41"/>
        <v>12699702.459999874</v>
      </c>
      <c r="H180" s="108">
        <f t="shared" si="41"/>
        <v>13819801.705334991</v>
      </c>
      <c r="I180" s="108">
        <f t="shared" si="41"/>
        <v>15020161.619053617</v>
      </c>
      <c r="J180" s="108">
        <f t="shared" si="41"/>
        <v>16306008.019880757</v>
      </c>
    </row>
    <row r="181" spans="1:10">
      <c r="A181" s="109"/>
      <c r="B181" s="109"/>
      <c r="C181" s="109"/>
      <c r="D181" s="87"/>
      <c r="E181" s="87"/>
      <c r="F181" s="87"/>
      <c r="G181" s="87"/>
      <c r="H181" s="87"/>
      <c r="I181" s="87"/>
      <c r="J181" s="87"/>
    </row>
    <row r="182" spans="1:10">
      <c r="A182" s="87"/>
      <c r="B182" s="87"/>
      <c r="C182" s="87"/>
      <c r="D182" s="87"/>
      <c r="E182" s="87"/>
      <c r="F182" s="87"/>
      <c r="G182" s="87"/>
      <c r="H182" s="87"/>
      <c r="I182" s="87"/>
      <c r="J182" s="87"/>
    </row>
    <row r="183" spans="1:10">
      <c r="A183" s="87"/>
      <c r="B183" s="87"/>
      <c r="C183" s="87"/>
      <c r="D183" s="87"/>
      <c r="E183" s="87"/>
      <c r="F183" s="87"/>
      <c r="G183" s="87"/>
      <c r="H183" s="87"/>
      <c r="I183" s="87"/>
      <c r="J183" s="87"/>
    </row>
    <row r="184" spans="1:10">
      <c r="A184" s="417" t="s">
        <v>434</v>
      </c>
      <c r="B184" s="417"/>
      <c r="C184" s="417"/>
      <c r="D184" s="417"/>
      <c r="E184" s="417"/>
      <c r="F184" s="417"/>
      <c r="G184" s="417"/>
      <c r="H184" s="417"/>
      <c r="I184" s="417"/>
      <c r="J184" s="417"/>
    </row>
    <row r="186" spans="1:10">
      <c r="A186" t="s">
        <v>555</v>
      </c>
    </row>
    <row r="187" spans="1:10">
      <c r="A187">
        <v>1</v>
      </c>
      <c r="B187" t="s">
        <v>568</v>
      </c>
    </row>
    <row r="188" spans="1:10">
      <c r="A188">
        <v>2</v>
      </c>
      <c r="B188" t="s">
        <v>569</v>
      </c>
    </row>
    <row r="189" spans="1:10">
      <c r="A189">
        <v>3</v>
      </c>
      <c r="B189" s="87" t="s">
        <v>621</v>
      </c>
    </row>
  </sheetData>
  <mergeCells count="4">
    <mergeCell ref="A131:J131"/>
    <mergeCell ref="A3:H3"/>
    <mergeCell ref="A184:J184"/>
    <mergeCell ref="A4:H4"/>
  </mergeCells>
  <pageMargins left="0.7" right="0.7" top="0.75" bottom="0.75" header="0.3" footer="0.3"/>
  <pageSetup paperSize="9" scale="40" orientation="portrait" r:id="rId1"/>
  <rowBreaks count="2" manualBreakCount="2">
    <brk id="125" max="9" man="1"/>
    <brk id="181"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A87" sqref="A87"/>
    </sheetView>
  </sheetViews>
  <sheetFormatPr defaultRowHeight="14.5"/>
  <cols>
    <col min="1" max="1" width="30.453125" bestFit="1" customWidth="1"/>
    <col min="2" max="2" width="9.81640625" customWidth="1"/>
    <col min="3" max="3" width="11.1796875" customWidth="1"/>
    <col min="4" max="10" width="9.54296875" bestFit="1" customWidth="1"/>
  </cols>
  <sheetData>
    <row r="2" spans="1:10" ht="17.5">
      <c r="A2" s="487" t="s">
        <v>608</v>
      </c>
      <c r="B2" s="487"/>
      <c r="C2" s="487"/>
      <c r="D2" s="487"/>
      <c r="E2" s="487"/>
      <c r="F2" s="487"/>
      <c r="G2" s="487"/>
      <c r="H2" s="487"/>
    </row>
    <row r="3" spans="1:10" ht="17.5">
      <c r="A3" s="487" t="s">
        <v>609</v>
      </c>
      <c r="B3" s="487"/>
      <c r="C3" s="487"/>
      <c r="D3" s="487"/>
      <c r="E3" s="487"/>
      <c r="F3" s="487"/>
      <c r="G3" s="487"/>
      <c r="H3" s="487"/>
    </row>
    <row r="4" spans="1:10">
      <c r="A4" s="180" t="s">
        <v>163</v>
      </c>
      <c r="B4" s="234"/>
      <c r="C4" s="178" t="s">
        <v>303</v>
      </c>
      <c r="D4" s="178"/>
      <c r="E4" s="178"/>
      <c r="F4" s="178"/>
      <c r="G4" s="179"/>
      <c r="H4" s="87"/>
    </row>
    <row r="5" spans="1:10">
      <c r="A5" s="180"/>
      <c r="B5" s="181"/>
      <c r="C5" s="179"/>
      <c r="D5" s="179"/>
      <c r="E5" s="179"/>
      <c r="F5" s="179"/>
      <c r="G5" s="179"/>
      <c r="H5" s="87"/>
    </row>
    <row r="6" spans="1:10">
      <c r="A6" s="180" t="s">
        <v>305</v>
      </c>
      <c r="B6" s="182">
        <v>12</v>
      </c>
      <c r="C6" s="179"/>
      <c r="D6" s="182"/>
      <c r="E6" s="182"/>
      <c r="F6" s="179"/>
      <c r="G6" s="179"/>
      <c r="H6" s="87"/>
    </row>
    <row r="7" spans="1:10">
      <c r="A7" s="180"/>
      <c r="B7" s="87"/>
      <c r="C7" s="182"/>
      <c r="D7" s="182"/>
      <c r="E7" s="182"/>
      <c r="F7" s="179"/>
      <c r="G7" s="179"/>
      <c r="H7" s="87"/>
    </row>
    <row r="8" spans="1:10">
      <c r="A8" s="141" t="s">
        <v>128</v>
      </c>
      <c r="B8" s="113" t="s">
        <v>2</v>
      </c>
      <c r="C8" s="113" t="s">
        <v>3</v>
      </c>
      <c r="D8" s="113" t="s">
        <v>4</v>
      </c>
      <c r="E8" s="113" t="s">
        <v>5</v>
      </c>
      <c r="F8" s="113" t="s">
        <v>6</v>
      </c>
      <c r="G8" s="113" t="s">
        <v>171</v>
      </c>
      <c r="H8" s="113" t="s">
        <v>170</v>
      </c>
    </row>
    <row r="9" spans="1:10">
      <c r="A9" s="88" t="s">
        <v>306</v>
      </c>
      <c r="B9" s="249">
        <v>0.8</v>
      </c>
      <c r="C9" s="249">
        <f>B9+5%</f>
        <v>0.85000000000000009</v>
      </c>
      <c r="D9" s="249">
        <f>C9+5%</f>
        <v>0.90000000000000013</v>
      </c>
      <c r="E9" s="249">
        <f>D9+5%</f>
        <v>0.95000000000000018</v>
      </c>
      <c r="F9" s="249">
        <f>E9+5%</f>
        <v>1.0000000000000002</v>
      </c>
      <c r="G9" s="249">
        <f>F9</f>
        <v>1.0000000000000002</v>
      </c>
      <c r="H9" s="249">
        <f>G9</f>
        <v>1.0000000000000002</v>
      </c>
    </row>
    <row r="10" spans="1:10">
      <c r="A10" s="90" t="s">
        <v>328</v>
      </c>
      <c r="B10" s="184">
        <f t="shared" ref="B10:H10" si="0">$B$4*B9*$B$6</f>
        <v>0</v>
      </c>
      <c r="C10" s="184">
        <f t="shared" si="0"/>
        <v>0</v>
      </c>
      <c r="D10" s="184">
        <f t="shared" si="0"/>
        <v>0</v>
      </c>
      <c r="E10" s="184">
        <f t="shared" si="0"/>
        <v>0</v>
      </c>
      <c r="F10" s="184">
        <f t="shared" si="0"/>
        <v>0</v>
      </c>
      <c r="G10" s="184">
        <f t="shared" si="0"/>
        <v>0</v>
      </c>
      <c r="H10" s="184">
        <f t="shared" si="0"/>
        <v>0</v>
      </c>
    </row>
    <row r="15" spans="1:10" ht="17.5">
      <c r="A15" s="416" t="s">
        <v>610</v>
      </c>
      <c r="B15" s="416"/>
      <c r="C15" s="416"/>
      <c r="D15" s="416"/>
      <c r="E15" s="416"/>
      <c r="F15" s="416"/>
      <c r="G15" s="416"/>
      <c r="H15" s="416"/>
      <c r="I15" s="416"/>
      <c r="J15" s="416"/>
    </row>
    <row r="16" spans="1:10">
      <c r="A16" s="14"/>
      <c r="B16" s="55"/>
      <c r="C16" s="25"/>
      <c r="D16" s="14"/>
      <c r="E16" s="14"/>
      <c r="F16" s="14"/>
      <c r="G16" s="14"/>
      <c r="H16" s="14"/>
    </row>
    <row r="17" spans="1:10">
      <c r="A17" s="87"/>
      <c r="B17" s="87"/>
      <c r="C17" s="87"/>
      <c r="D17" s="172">
        <v>1</v>
      </c>
      <c r="E17" s="177">
        <f t="shared" ref="E17:J17" si="1">(D17*5%)+D17</f>
        <v>1.05</v>
      </c>
      <c r="F17" s="177">
        <f t="shared" si="1"/>
        <v>1.1025</v>
      </c>
      <c r="G17" s="177">
        <f t="shared" si="1"/>
        <v>1.1576250000000001</v>
      </c>
      <c r="H17" s="177">
        <f t="shared" si="1"/>
        <v>1.2155062500000002</v>
      </c>
      <c r="I17" s="177">
        <f t="shared" si="1"/>
        <v>1.2762815625000004</v>
      </c>
      <c r="J17" s="177">
        <f t="shared" si="1"/>
        <v>1.3400956406250004</v>
      </c>
    </row>
    <row r="18" spans="1:10">
      <c r="A18" s="141" t="s">
        <v>0</v>
      </c>
      <c r="B18" s="141" t="s">
        <v>133</v>
      </c>
      <c r="C18" s="141" t="s">
        <v>154</v>
      </c>
      <c r="D18" s="113" t="s">
        <v>2</v>
      </c>
      <c r="E18" s="113" t="s">
        <v>3</v>
      </c>
      <c r="F18" s="113" t="s">
        <v>4</v>
      </c>
      <c r="G18" s="113" t="s">
        <v>5</v>
      </c>
      <c r="H18" s="113" t="s">
        <v>6</v>
      </c>
      <c r="I18" s="113" t="s">
        <v>171</v>
      </c>
      <c r="J18" s="113" t="s">
        <v>170</v>
      </c>
    </row>
    <row r="19" spans="1:10">
      <c r="A19" s="88"/>
      <c r="B19" s="88"/>
      <c r="C19" s="88"/>
      <c r="D19" s="88"/>
      <c r="E19" s="88"/>
      <c r="F19" s="88"/>
      <c r="G19" s="88"/>
      <c r="H19" s="88"/>
      <c r="I19" s="88"/>
      <c r="J19" s="88"/>
    </row>
    <row r="20" spans="1:10">
      <c r="A20" s="90" t="s">
        <v>179</v>
      </c>
      <c r="B20" s="90"/>
      <c r="C20" s="90"/>
      <c r="D20" s="88"/>
      <c r="E20" s="88"/>
      <c r="F20" s="88"/>
      <c r="G20" s="88"/>
      <c r="H20" s="88"/>
      <c r="I20" s="88"/>
      <c r="J20" s="88"/>
    </row>
    <row r="21" spans="1:10">
      <c r="A21" s="88" t="s">
        <v>330</v>
      </c>
      <c r="B21" s="88"/>
      <c r="C21" s="229">
        <v>100</v>
      </c>
      <c r="D21" s="89">
        <f t="shared" ref="D21:J21" si="2">B10*$C$21*D17</f>
        <v>0</v>
      </c>
      <c r="E21" s="89">
        <f t="shared" si="2"/>
        <v>0</v>
      </c>
      <c r="F21" s="89">
        <f t="shared" si="2"/>
        <v>0</v>
      </c>
      <c r="G21" s="89">
        <f t="shared" si="2"/>
        <v>0</v>
      </c>
      <c r="H21" s="89">
        <f t="shared" si="2"/>
        <v>0</v>
      </c>
      <c r="I21" s="89">
        <f t="shared" si="2"/>
        <v>0</v>
      </c>
      <c r="J21" s="89">
        <f t="shared" si="2"/>
        <v>0</v>
      </c>
    </row>
    <row r="22" spans="1:10">
      <c r="A22" s="88"/>
      <c r="B22" s="88"/>
      <c r="C22" s="89"/>
      <c r="D22" s="89"/>
      <c r="E22" s="89"/>
      <c r="F22" s="89"/>
      <c r="G22" s="89"/>
      <c r="H22" s="89"/>
      <c r="I22" s="89"/>
      <c r="J22" s="89"/>
    </row>
    <row r="23" spans="1:10">
      <c r="A23" s="90" t="s">
        <v>144</v>
      </c>
      <c r="B23" s="90"/>
      <c r="C23" s="108"/>
      <c r="D23" s="89">
        <f t="shared" ref="D23:J23" si="3">SUM(D21:D21)</f>
        <v>0</v>
      </c>
      <c r="E23" s="89">
        <f t="shared" si="3"/>
        <v>0</v>
      </c>
      <c r="F23" s="89">
        <f t="shared" si="3"/>
        <v>0</v>
      </c>
      <c r="G23" s="89">
        <f t="shared" si="3"/>
        <v>0</v>
      </c>
      <c r="H23" s="89">
        <f t="shared" si="3"/>
        <v>0</v>
      </c>
      <c r="I23" s="89">
        <f t="shared" si="3"/>
        <v>0</v>
      </c>
      <c r="J23" s="89">
        <f t="shared" si="3"/>
        <v>0</v>
      </c>
    </row>
    <row r="24" spans="1:10">
      <c r="A24" s="88"/>
      <c r="B24" s="88"/>
      <c r="C24" s="89"/>
      <c r="D24" s="89"/>
      <c r="E24" s="89"/>
      <c r="F24" s="89"/>
      <c r="G24" s="89"/>
      <c r="H24" s="89"/>
      <c r="I24" s="89"/>
      <c r="J24" s="89"/>
    </row>
    <row r="25" spans="1:10">
      <c r="A25" s="90" t="s">
        <v>143</v>
      </c>
      <c r="B25" s="90"/>
      <c r="C25" s="89"/>
      <c r="D25" s="89"/>
      <c r="E25" s="89"/>
      <c r="F25" s="89"/>
      <c r="G25" s="89"/>
      <c r="H25" s="89"/>
      <c r="I25" s="89"/>
      <c r="J25" s="89"/>
    </row>
    <row r="26" spans="1:10">
      <c r="A26" s="90" t="s">
        <v>316</v>
      </c>
      <c r="B26" s="90"/>
      <c r="C26" s="89"/>
      <c r="D26" s="89"/>
      <c r="E26" s="89"/>
      <c r="F26" s="89"/>
      <c r="G26" s="89"/>
      <c r="H26" s="89"/>
      <c r="I26" s="89"/>
      <c r="J26" s="89"/>
    </row>
    <row r="27" spans="1:10">
      <c r="A27" s="88" t="s">
        <v>307</v>
      </c>
      <c r="B27" s="217" t="s">
        <v>303</v>
      </c>
      <c r="C27" s="229">
        <v>15</v>
      </c>
      <c r="D27" s="89">
        <f t="shared" ref="D27:J27" si="4">$B$4*$C$27*D17*4</f>
        <v>0</v>
      </c>
      <c r="E27" s="89">
        <f t="shared" si="4"/>
        <v>0</v>
      </c>
      <c r="F27" s="89">
        <f t="shared" si="4"/>
        <v>0</v>
      </c>
      <c r="G27" s="89">
        <f t="shared" si="4"/>
        <v>0</v>
      </c>
      <c r="H27" s="89">
        <f t="shared" si="4"/>
        <v>0</v>
      </c>
      <c r="I27" s="89">
        <f t="shared" si="4"/>
        <v>0</v>
      </c>
      <c r="J27" s="89">
        <f t="shared" si="4"/>
        <v>0</v>
      </c>
    </row>
    <row r="28" spans="1:10">
      <c r="A28" s="88" t="s">
        <v>308</v>
      </c>
      <c r="B28" s="217" t="s">
        <v>303</v>
      </c>
      <c r="C28" s="229">
        <v>14</v>
      </c>
      <c r="D28" s="89">
        <f t="shared" ref="D28:J28" si="5">$B$4*$C$28*D17*12</f>
        <v>0</v>
      </c>
      <c r="E28" s="89">
        <f t="shared" si="5"/>
        <v>0</v>
      </c>
      <c r="F28" s="89">
        <f t="shared" si="5"/>
        <v>0</v>
      </c>
      <c r="G28" s="89">
        <f t="shared" si="5"/>
        <v>0</v>
      </c>
      <c r="H28" s="89">
        <f t="shared" si="5"/>
        <v>0</v>
      </c>
      <c r="I28" s="89">
        <f t="shared" si="5"/>
        <v>0</v>
      </c>
      <c r="J28" s="89">
        <f t="shared" si="5"/>
        <v>0</v>
      </c>
    </row>
    <row r="29" spans="1:10">
      <c r="A29" s="88" t="s">
        <v>309</v>
      </c>
      <c r="B29" s="217"/>
      <c r="C29" s="229">
        <f>B4*10</f>
        <v>0</v>
      </c>
      <c r="D29" s="89">
        <f>$C$29*12*D17</f>
        <v>0</v>
      </c>
      <c r="E29" s="89">
        <f t="shared" ref="E29:J29" si="6">$C$29*12*E17</f>
        <v>0</v>
      </c>
      <c r="F29" s="89">
        <f t="shared" si="6"/>
        <v>0</v>
      </c>
      <c r="G29" s="89">
        <f t="shared" si="6"/>
        <v>0</v>
      </c>
      <c r="H29" s="89">
        <f t="shared" si="6"/>
        <v>0</v>
      </c>
      <c r="I29" s="89">
        <f t="shared" si="6"/>
        <v>0</v>
      </c>
      <c r="J29" s="89">
        <f t="shared" si="6"/>
        <v>0</v>
      </c>
    </row>
    <row r="30" spans="1:10">
      <c r="A30" s="88"/>
      <c r="B30" s="217"/>
      <c r="C30" s="229"/>
      <c r="D30" s="89"/>
      <c r="E30" s="89"/>
      <c r="F30" s="89"/>
      <c r="G30" s="89"/>
      <c r="H30" s="89"/>
      <c r="I30" s="89"/>
      <c r="J30" s="89"/>
    </row>
    <row r="31" spans="1:10">
      <c r="A31" s="88"/>
      <c r="B31" s="217"/>
      <c r="C31" s="229"/>
      <c r="D31" s="89"/>
      <c r="E31" s="89"/>
      <c r="F31" s="89"/>
      <c r="G31" s="89"/>
      <c r="H31" s="89"/>
      <c r="I31" s="89"/>
      <c r="J31" s="89"/>
    </row>
    <row r="32" spans="1:10">
      <c r="A32" s="88"/>
      <c r="B32" s="217"/>
      <c r="C32" s="229"/>
      <c r="D32" s="89"/>
      <c r="E32" s="89"/>
      <c r="F32" s="89"/>
      <c r="G32" s="89"/>
      <c r="H32" s="89"/>
      <c r="I32" s="89"/>
      <c r="J32" s="89"/>
    </row>
    <row r="33" spans="1:10">
      <c r="A33" s="88"/>
      <c r="B33" s="217"/>
      <c r="C33" s="229"/>
      <c r="D33" s="89"/>
      <c r="E33" s="89"/>
      <c r="F33" s="89"/>
      <c r="G33" s="89"/>
      <c r="H33" s="89"/>
      <c r="I33" s="89"/>
      <c r="J33" s="89"/>
    </row>
    <row r="34" spans="1:10">
      <c r="A34" s="90" t="s">
        <v>327</v>
      </c>
      <c r="B34" s="219"/>
      <c r="C34" s="233"/>
      <c r="D34" s="108">
        <f>SUM(D27:D33)</f>
        <v>0</v>
      </c>
      <c r="E34" s="108">
        <f t="shared" ref="E34:J34" si="7">SUM(E27:E33)</f>
        <v>0</v>
      </c>
      <c r="F34" s="108">
        <f t="shared" si="7"/>
        <v>0</v>
      </c>
      <c r="G34" s="108">
        <f t="shared" si="7"/>
        <v>0</v>
      </c>
      <c r="H34" s="108">
        <f t="shared" si="7"/>
        <v>0</v>
      </c>
      <c r="I34" s="108">
        <f t="shared" si="7"/>
        <v>0</v>
      </c>
      <c r="J34" s="108">
        <f t="shared" si="7"/>
        <v>0</v>
      </c>
    </row>
    <row r="35" spans="1:10">
      <c r="A35" s="90"/>
      <c r="B35" s="219"/>
      <c r="C35" s="233"/>
      <c r="D35" s="108"/>
      <c r="E35" s="108"/>
      <c r="F35" s="108"/>
      <c r="G35" s="108"/>
      <c r="H35" s="108"/>
      <c r="I35" s="108"/>
      <c r="J35" s="108"/>
    </row>
    <row r="36" spans="1:10">
      <c r="A36" s="90" t="s">
        <v>314</v>
      </c>
      <c r="B36" s="217"/>
      <c r="C36" s="229"/>
      <c r="D36" s="89"/>
      <c r="E36" s="89"/>
      <c r="F36" s="89"/>
      <c r="G36" s="89"/>
      <c r="H36" s="89"/>
      <c r="I36" s="89"/>
      <c r="J36" s="89"/>
    </row>
    <row r="37" spans="1:10">
      <c r="A37" s="88" t="s">
        <v>329</v>
      </c>
      <c r="B37" s="217">
        <v>1</v>
      </c>
      <c r="C37" s="229"/>
      <c r="D37" s="89">
        <f>$B$37*$C$37*D17*12</f>
        <v>0</v>
      </c>
      <c r="E37" s="89">
        <f t="shared" ref="E37:J37" si="8">$B$37*$C$37*E17*12</f>
        <v>0</v>
      </c>
      <c r="F37" s="89">
        <f t="shared" si="8"/>
        <v>0</v>
      </c>
      <c r="G37" s="89">
        <f t="shared" si="8"/>
        <v>0</v>
      </c>
      <c r="H37" s="89">
        <f t="shared" si="8"/>
        <v>0</v>
      </c>
      <c r="I37" s="89">
        <f t="shared" si="8"/>
        <v>0</v>
      </c>
      <c r="J37" s="89">
        <f t="shared" si="8"/>
        <v>0</v>
      </c>
    </row>
    <row r="38" spans="1:10">
      <c r="A38" s="88"/>
      <c r="B38" s="217"/>
      <c r="C38" s="229"/>
      <c r="D38" s="89"/>
      <c r="E38" s="89"/>
      <c r="F38" s="89"/>
      <c r="G38" s="89"/>
      <c r="H38" s="89"/>
      <c r="I38" s="89"/>
      <c r="J38" s="89"/>
    </row>
    <row r="39" spans="1:10">
      <c r="A39" s="88"/>
      <c r="B39" s="217"/>
      <c r="C39" s="229"/>
      <c r="D39" s="89"/>
      <c r="E39" s="89"/>
      <c r="F39" s="89"/>
      <c r="G39" s="89"/>
      <c r="H39" s="89"/>
      <c r="I39" s="89"/>
      <c r="J39" s="89"/>
    </row>
    <row r="40" spans="1:10">
      <c r="A40" s="88"/>
      <c r="B40" s="217"/>
      <c r="C40" s="229"/>
      <c r="D40" s="89"/>
      <c r="E40" s="89"/>
      <c r="F40" s="89"/>
      <c r="G40" s="89"/>
      <c r="H40" s="89"/>
      <c r="I40" s="89"/>
      <c r="J40" s="89"/>
    </row>
    <row r="41" spans="1:10">
      <c r="A41" s="88"/>
      <c r="B41" s="217"/>
      <c r="C41" s="229"/>
      <c r="D41" s="89"/>
      <c r="E41" s="89"/>
      <c r="F41" s="89"/>
      <c r="G41" s="89"/>
      <c r="H41" s="89"/>
      <c r="I41" s="89"/>
      <c r="J41" s="89"/>
    </row>
    <row r="42" spans="1:10">
      <c r="A42" s="88"/>
      <c r="B42" s="217"/>
      <c r="C42" s="229"/>
      <c r="D42" s="89"/>
      <c r="E42" s="89"/>
      <c r="F42" s="89"/>
      <c r="G42" s="89"/>
      <c r="H42" s="89"/>
      <c r="I42" s="89"/>
      <c r="J42" s="89"/>
    </row>
    <row r="43" spans="1:10">
      <c r="A43" s="90" t="s">
        <v>331</v>
      </c>
      <c r="B43" s="90"/>
      <c r="C43" s="108"/>
      <c r="D43" s="108">
        <f>SUM(D37:D42)</f>
        <v>0</v>
      </c>
      <c r="E43" s="108">
        <f t="shared" ref="E43:J43" si="9">SUM(E37:E42)</f>
        <v>0</v>
      </c>
      <c r="F43" s="108">
        <f t="shared" si="9"/>
        <v>0</v>
      </c>
      <c r="G43" s="108">
        <f t="shared" si="9"/>
        <v>0</v>
      </c>
      <c r="H43" s="108">
        <f t="shared" si="9"/>
        <v>0</v>
      </c>
      <c r="I43" s="108">
        <f t="shared" si="9"/>
        <v>0</v>
      </c>
      <c r="J43" s="108">
        <f t="shared" si="9"/>
        <v>0</v>
      </c>
    </row>
    <row r="44" spans="1:10">
      <c r="A44" s="90"/>
      <c r="B44" s="90"/>
      <c r="C44" s="108"/>
      <c r="D44" s="108"/>
      <c r="E44" s="108"/>
      <c r="F44" s="108"/>
      <c r="G44" s="108"/>
      <c r="H44" s="108"/>
      <c r="I44" s="108"/>
      <c r="J44" s="108"/>
    </row>
    <row r="45" spans="1:10">
      <c r="A45" s="90" t="s">
        <v>130</v>
      </c>
      <c r="B45" s="90"/>
      <c r="C45" s="108"/>
      <c r="D45" s="108">
        <f>D34+D43</f>
        <v>0</v>
      </c>
      <c r="E45" s="108">
        <f t="shared" ref="E45:J45" si="10">E34+E43</f>
        <v>0</v>
      </c>
      <c r="F45" s="108">
        <f t="shared" si="10"/>
        <v>0</v>
      </c>
      <c r="G45" s="108">
        <f t="shared" si="10"/>
        <v>0</v>
      </c>
      <c r="H45" s="108">
        <f t="shared" si="10"/>
        <v>0</v>
      </c>
      <c r="I45" s="108">
        <f t="shared" si="10"/>
        <v>0</v>
      </c>
      <c r="J45" s="108">
        <f t="shared" si="10"/>
        <v>0</v>
      </c>
    </row>
    <row r="46" spans="1:10">
      <c r="A46" s="88"/>
      <c r="B46" s="88"/>
      <c r="C46" s="89"/>
      <c r="D46" s="89"/>
      <c r="E46" s="89"/>
      <c r="F46" s="89"/>
      <c r="G46" s="89"/>
      <c r="H46" s="89"/>
      <c r="I46" s="89"/>
      <c r="J46" s="89"/>
    </row>
    <row r="47" spans="1:10">
      <c r="A47" s="90" t="s">
        <v>129</v>
      </c>
      <c r="B47" s="90"/>
      <c r="C47" s="108"/>
      <c r="D47" s="108">
        <f t="shared" ref="D47:J47" si="11">D23-D45</f>
        <v>0</v>
      </c>
      <c r="E47" s="108">
        <f t="shared" si="11"/>
        <v>0</v>
      </c>
      <c r="F47" s="108">
        <f t="shared" si="11"/>
        <v>0</v>
      </c>
      <c r="G47" s="108">
        <f t="shared" si="11"/>
        <v>0</v>
      </c>
      <c r="H47" s="108">
        <f t="shared" si="11"/>
        <v>0</v>
      </c>
      <c r="I47" s="108">
        <f t="shared" si="11"/>
        <v>0</v>
      </c>
      <c r="J47" s="108">
        <f t="shared" si="11"/>
        <v>0</v>
      </c>
    </row>
    <row r="48" spans="1:10">
      <c r="A48" s="87"/>
      <c r="B48" s="87"/>
      <c r="C48" s="87"/>
      <c r="D48" s="87"/>
      <c r="E48" s="87"/>
      <c r="F48" s="87"/>
      <c r="G48" s="87"/>
      <c r="H48" s="87"/>
      <c r="I48" s="87"/>
      <c r="J48" s="87"/>
    </row>
    <row r="49" spans="1:10">
      <c r="A49" s="87"/>
    </row>
    <row r="51" spans="1:10">
      <c r="A51" s="417" t="s">
        <v>434</v>
      </c>
      <c r="B51" s="417"/>
      <c r="C51" s="417"/>
      <c r="D51" s="417"/>
      <c r="E51" s="417"/>
      <c r="F51" s="417"/>
      <c r="G51" s="417"/>
      <c r="H51" s="417"/>
      <c r="I51" s="417"/>
      <c r="J51" s="417"/>
    </row>
    <row r="53" spans="1:10">
      <c r="A53" t="s">
        <v>555</v>
      </c>
    </row>
    <row r="54" spans="1:10">
      <c r="A54">
        <v>1</v>
      </c>
      <c r="B54" t="s">
        <v>568</v>
      </c>
    </row>
    <row r="55" spans="1:10">
      <c r="A55">
        <v>2</v>
      </c>
      <c r="B55" t="s">
        <v>569</v>
      </c>
    </row>
    <row r="56" spans="1:10">
      <c r="A56">
        <v>3</v>
      </c>
      <c r="B56" s="87" t="s">
        <v>621</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58" zoomScale="80" zoomScaleSheetLayoutView="80" workbookViewId="0">
      <selection activeCell="D55" sqref="D55"/>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416" t="s">
        <v>611</v>
      </c>
      <c r="B3" s="416"/>
      <c r="C3" s="416"/>
      <c r="D3" s="416"/>
      <c r="E3" s="416"/>
      <c r="F3" s="416"/>
      <c r="G3" s="416"/>
      <c r="H3" s="416"/>
      <c r="I3" s="416"/>
      <c r="J3" s="416"/>
      <c r="K3" s="416"/>
      <c r="L3" s="416"/>
    </row>
    <row r="4" spans="1:13" ht="17.5">
      <c r="A4" s="416" t="s">
        <v>612</v>
      </c>
      <c r="B4" s="416"/>
      <c r="C4" s="416"/>
      <c r="D4" s="416"/>
      <c r="E4" s="416"/>
      <c r="F4" s="416"/>
      <c r="G4" s="416"/>
      <c r="H4" s="416"/>
      <c r="I4" s="416"/>
      <c r="J4" s="416"/>
      <c r="K4" s="416"/>
      <c r="L4" s="416"/>
    </row>
    <row r="5" spans="1:13">
      <c r="A5" s="87"/>
      <c r="B5" s="87"/>
      <c r="C5" s="87"/>
    </row>
    <row r="6" spans="1:13">
      <c r="A6" s="87"/>
      <c r="B6" s="87"/>
      <c r="C6" s="87"/>
    </row>
    <row r="7" spans="1:13" ht="43.5">
      <c r="A7" s="260" t="s">
        <v>146</v>
      </c>
      <c r="B7" s="261" t="s">
        <v>442</v>
      </c>
      <c r="C7" s="261" t="s">
        <v>450</v>
      </c>
      <c r="D7" s="261" t="s">
        <v>448</v>
      </c>
      <c r="E7" s="261" t="s">
        <v>449</v>
      </c>
      <c r="F7" s="261" t="s">
        <v>310</v>
      </c>
      <c r="G7" s="261" t="s">
        <v>451</v>
      </c>
      <c r="H7" s="261" t="s">
        <v>452</v>
      </c>
      <c r="I7" s="261" t="s">
        <v>453</v>
      </c>
      <c r="J7" s="263" t="s">
        <v>456</v>
      </c>
      <c r="K7" s="261" t="s">
        <v>454</v>
      </c>
      <c r="L7" s="263" t="s">
        <v>455</v>
      </c>
      <c r="M7" s="261" t="s">
        <v>458</v>
      </c>
    </row>
    <row r="8" spans="1:13">
      <c r="A8" s="262">
        <v>1</v>
      </c>
      <c r="B8" s="256" t="s">
        <v>443</v>
      </c>
      <c r="C8" s="256"/>
      <c r="D8" s="256"/>
      <c r="E8" s="256">
        <v>6</v>
      </c>
      <c r="F8" s="265">
        <f>D8*E8*C8</f>
        <v>0</v>
      </c>
      <c r="G8" s="256">
        <v>4</v>
      </c>
      <c r="H8" s="265">
        <f>F8/G8</f>
        <v>0</v>
      </c>
      <c r="I8" s="256">
        <v>12</v>
      </c>
      <c r="J8" s="265">
        <f>H8*I8</f>
        <v>0</v>
      </c>
      <c r="K8" s="256">
        <v>3000</v>
      </c>
      <c r="L8" s="256">
        <v>1</v>
      </c>
      <c r="M8" s="265">
        <f t="shared" ref="M8:M17" si="0">D8*L8</f>
        <v>0</v>
      </c>
    </row>
    <row r="9" spans="1:13">
      <c r="A9" s="262">
        <v>2</v>
      </c>
      <c r="B9" s="256" t="s">
        <v>444</v>
      </c>
      <c r="C9" s="256"/>
      <c r="D9" s="256"/>
      <c r="E9" s="256">
        <v>6</v>
      </c>
      <c r="F9" s="265">
        <f t="shared" ref="F9:F17" si="1">D9*E9*C9</f>
        <v>0</v>
      </c>
      <c r="G9" s="256">
        <v>2</v>
      </c>
      <c r="H9" s="265">
        <f>F9/G9</f>
        <v>0</v>
      </c>
      <c r="I9" s="256">
        <v>8</v>
      </c>
      <c r="J9" s="265">
        <f t="shared" ref="J9:J17" si="2">H9*I9</f>
        <v>0</v>
      </c>
      <c r="K9" s="256">
        <v>1800</v>
      </c>
      <c r="L9" s="256">
        <v>1</v>
      </c>
      <c r="M9" s="265">
        <f t="shared" si="0"/>
        <v>0</v>
      </c>
    </row>
    <row r="10" spans="1:13">
      <c r="A10" s="262">
        <v>3</v>
      </c>
      <c r="B10" s="256" t="s">
        <v>445</v>
      </c>
      <c r="C10" s="256"/>
      <c r="D10" s="256"/>
      <c r="E10" s="256">
        <v>6</v>
      </c>
      <c r="F10" s="265">
        <f t="shared" si="1"/>
        <v>0</v>
      </c>
      <c r="G10" s="256">
        <v>2</v>
      </c>
      <c r="H10" s="265">
        <f>F10/G10</f>
        <v>0</v>
      </c>
      <c r="I10" s="256">
        <v>8</v>
      </c>
      <c r="J10" s="265">
        <f t="shared" si="2"/>
        <v>0</v>
      </c>
      <c r="K10" s="256">
        <v>1800</v>
      </c>
      <c r="L10" s="256">
        <v>1</v>
      </c>
      <c r="M10" s="265">
        <f t="shared" si="0"/>
        <v>0</v>
      </c>
    </row>
    <row r="11" spans="1:13">
      <c r="A11" s="262">
        <v>4</v>
      </c>
      <c r="B11" s="256" t="s">
        <v>446</v>
      </c>
      <c r="C11" s="256"/>
      <c r="D11" s="256"/>
      <c r="E11" s="256">
        <v>6</v>
      </c>
      <c r="F11" s="265">
        <f t="shared" si="1"/>
        <v>0</v>
      </c>
      <c r="G11" s="256">
        <v>2</v>
      </c>
      <c r="H11" s="265">
        <f>F11/G11</f>
        <v>0</v>
      </c>
      <c r="I11" s="256">
        <v>4</v>
      </c>
      <c r="J11" s="265">
        <f t="shared" si="2"/>
        <v>0</v>
      </c>
      <c r="K11" s="256">
        <v>1200</v>
      </c>
      <c r="L11" s="256">
        <v>1</v>
      </c>
      <c r="M11" s="265">
        <f t="shared" si="0"/>
        <v>0</v>
      </c>
    </row>
    <row r="12" spans="1:13">
      <c r="A12" s="262">
        <v>5</v>
      </c>
      <c r="B12" s="256" t="s">
        <v>447</v>
      </c>
      <c r="C12" s="256"/>
      <c r="D12" s="256"/>
      <c r="E12" s="256">
        <v>6</v>
      </c>
      <c r="F12" s="265">
        <f t="shared" si="1"/>
        <v>0</v>
      </c>
      <c r="G12" s="256">
        <v>2</v>
      </c>
      <c r="H12" s="265">
        <f>F12/G12</f>
        <v>0</v>
      </c>
      <c r="I12" s="256">
        <v>10</v>
      </c>
      <c r="J12" s="265">
        <f t="shared" si="2"/>
        <v>0</v>
      </c>
      <c r="K12" s="256">
        <v>3000</v>
      </c>
      <c r="L12" s="256">
        <v>1</v>
      </c>
      <c r="M12" s="265">
        <f t="shared" si="0"/>
        <v>0</v>
      </c>
    </row>
    <row r="13" spans="1:13">
      <c r="A13" s="262">
        <v>6</v>
      </c>
      <c r="B13" s="10"/>
      <c r="C13" s="10"/>
      <c r="D13" s="10"/>
      <c r="E13" s="10"/>
      <c r="F13" s="265">
        <f t="shared" si="1"/>
        <v>0</v>
      </c>
      <c r="G13" s="10">
        <v>0</v>
      </c>
      <c r="H13" s="256"/>
      <c r="I13" s="10"/>
      <c r="J13" s="265">
        <f t="shared" si="2"/>
        <v>0</v>
      </c>
      <c r="K13" s="10"/>
      <c r="L13" s="265"/>
      <c r="M13" s="265">
        <f t="shared" si="0"/>
        <v>0</v>
      </c>
    </row>
    <row r="14" spans="1:13">
      <c r="A14" s="262">
        <v>7</v>
      </c>
      <c r="B14" s="10"/>
      <c r="C14" s="10"/>
      <c r="D14" s="10"/>
      <c r="E14" s="10"/>
      <c r="F14" s="265">
        <f t="shared" si="1"/>
        <v>0</v>
      </c>
      <c r="G14" s="10">
        <v>0</v>
      </c>
      <c r="H14" s="256"/>
      <c r="I14" s="10"/>
      <c r="J14" s="265">
        <f t="shared" si="2"/>
        <v>0</v>
      </c>
      <c r="K14" s="10"/>
      <c r="L14" s="265"/>
      <c r="M14" s="265">
        <f t="shared" si="0"/>
        <v>0</v>
      </c>
    </row>
    <row r="15" spans="1:13">
      <c r="A15" s="262">
        <v>8</v>
      </c>
      <c r="B15" s="10"/>
      <c r="C15" s="10"/>
      <c r="D15" s="10"/>
      <c r="E15" s="10"/>
      <c r="F15" s="265">
        <f t="shared" si="1"/>
        <v>0</v>
      </c>
      <c r="G15" s="10">
        <v>0</v>
      </c>
      <c r="H15" s="256"/>
      <c r="I15" s="10"/>
      <c r="J15" s="265">
        <f t="shared" si="2"/>
        <v>0</v>
      </c>
      <c r="K15" s="10"/>
      <c r="L15" s="265"/>
      <c r="M15" s="265">
        <f t="shared" si="0"/>
        <v>0</v>
      </c>
    </row>
    <row r="16" spans="1:13">
      <c r="A16" s="262">
        <v>9</v>
      </c>
      <c r="B16" s="10"/>
      <c r="C16" s="10"/>
      <c r="D16" s="10"/>
      <c r="E16" s="10"/>
      <c r="F16" s="265">
        <f t="shared" si="1"/>
        <v>0</v>
      </c>
      <c r="G16" s="10">
        <v>0</v>
      </c>
      <c r="H16" s="256"/>
      <c r="I16" s="10"/>
      <c r="J16" s="265">
        <f t="shared" si="2"/>
        <v>0</v>
      </c>
      <c r="K16" s="10"/>
      <c r="L16" s="265"/>
      <c r="M16" s="265">
        <f t="shared" si="0"/>
        <v>0</v>
      </c>
    </row>
    <row r="17" spans="1:16">
      <c r="A17" s="262">
        <v>10</v>
      </c>
      <c r="B17" s="10"/>
      <c r="C17" s="10"/>
      <c r="D17" s="10"/>
      <c r="E17" s="10"/>
      <c r="F17" s="265">
        <f t="shared" si="1"/>
        <v>0</v>
      </c>
      <c r="G17" s="10">
        <v>0</v>
      </c>
      <c r="H17" s="256"/>
      <c r="I17" s="10"/>
      <c r="J17" s="265">
        <f t="shared" si="2"/>
        <v>0</v>
      </c>
      <c r="K17" s="10"/>
      <c r="L17" s="265"/>
      <c r="M17" s="265">
        <f t="shared" si="0"/>
        <v>0</v>
      </c>
    </row>
    <row r="18" spans="1:16">
      <c r="A18" s="15"/>
      <c r="B18" s="15"/>
      <c r="C18" s="266"/>
      <c r="D18" s="266"/>
      <c r="E18" s="266"/>
      <c r="F18" s="266"/>
      <c r="G18" s="266"/>
      <c r="H18" s="266"/>
      <c r="I18" s="266"/>
      <c r="J18" s="266"/>
      <c r="K18" s="266"/>
      <c r="L18" s="266"/>
      <c r="M18" s="264"/>
    </row>
    <row r="19" spans="1:16">
      <c r="A19" s="15"/>
      <c r="B19" s="15"/>
      <c r="C19" s="266"/>
      <c r="D19" s="266"/>
      <c r="E19" s="266"/>
      <c r="F19" s="266"/>
      <c r="G19" s="266"/>
      <c r="H19" s="266"/>
      <c r="I19" s="266"/>
      <c r="J19" s="266"/>
      <c r="K19" s="266"/>
      <c r="L19" s="266"/>
      <c r="M19" s="264"/>
    </row>
    <row r="21" spans="1:16" ht="17.5">
      <c r="A21" s="416" t="s">
        <v>613</v>
      </c>
      <c r="B21" s="416"/>
      <c r="C21" s="416"/>
      <c r="D21" s="416"/>
      <c r="E21" s="416"/>
      <c r="F21" s="416"/>
      <c r="G21" s="416"/>
      <c r="H21" s="416"/>
      <c r="I21" s="416"/>
      <c r="J21" s="416"/>
      <c r="K21" s="416"/>
    </row>
    <row r="23" spans="1:16">
      <c r="A23" s="87"/>
      <c r="B23" s="87"/>
      <c r="C23" s="87"/>
      <c r="D23" s="87"/>
      <c r="E23" s="172">
        <v>1</v>
      </c>
      <c r="F23" s="177">
        <f t="shared" ref="F23:K23" si="3">(E23*5%)+E23</f>
        <v>1.05</v>
      </c>
      <c r="G23" s="177">
        <f t="shared" si="3"/>
        <v>1.1025</v>
      </c>
      <c r="H23" s="177">
        <f t="shared" si="3"/>
        <v>1.1576250000000001</v>
      </c>
      <c r="I23" s="177">
        <f t="shared" si="3"/>
        <v>1.2155062500000002</v>
      </c>
      <c r="J23" s="177">
        <f t="shared" si="3"/>
        <v>1.2762815625000004</v>
      </c>
      <c r="K23" s="177">
        <f t="shared" si="3"/>
        <v>1.3400956406250004</v>
      </c>
    </row>
    <row r="24" spans="1:16">
      <c r="A24" s="141" t="s">
        <v>0</v>
      </c>
      <c r="B24" s="141" t="s">
        <v>133</v>
      </c>
      <c r="C24" s="141" t="s">
        <v>147</v>
      </c>
      <c r="D24" s="141" t="s">
        <v>154</v>
      </c>
      <c r="E24" s="113" t="s">
        <v>2</v>
      </c>
      <c r="F24" s="113" t="s">
        <v>3</v>
      </c>
      <c r="G24" s="113" t="s">
        <v>4</v>
      </c>
      <c r="H24" s="113" t="s">
        <v>5</v>
      </c>
      <c r="I24" s="113" t="s">
        <v>6</v>
      </c>
      <c r="J24" s="113" t="s">
        <v>171</v>
      </c>
      <c r="K24" s="113" t="s">
        <v>170</v>
      </c>
    </row>
    <row r="25" spans="1:16">
      <c r="A25" s="90"/>
      <c r="B25" s="90"/>
      <c r="C25" s="90"/>
      <c r="D25" s="90"/>
      <c r="E25" s="88"/>
      <c r="F25" s="88"/>
      <c r="G25" s="88"/>
      <c r="H25" s="88"/>
      <c r="I25" s="88"/>
      <c r="J25" s="88"/>
      <c r="K25" s="88"/>
    </row>
    <row r="26" spans="1:16">
      <c r="A26" s="90" t="s">
        <v>127</v>
      </c>
      <c r="B26" s="90"/>
      <c r="C26" s="90"/>
      <c r="D26" s="90"/>
      <c r="E26" s="88"/>
      <c r="F26" s="88"/>
      <c r="G26" s="88"/>
      <c r="H26" s="88"/>
      <c r="I26" s="88"/>
      <c r="J26" s="88"/>
      <c r="K26" s="88"/>
      <c r="P26" s="87"/>
    </row>
    <row r="27" spans="1:16">
      <c r="A27" s="189" t="s">
        <v>460</v>
      </c>
      <c r="B27" s="102"/>
      <c r="C27" s="267"/>
      <c r="D27" s="267"/>
      <c r="E27" s="89"/>
      <c r="F27" s="89"/>
      <c r="G27" s="89"/>
      <c r="H27" s="89"/>
      <c r="I27" s="89"/>
      <c r="J27" s="89"/>
      <c r="K27" s="89"/>
      <c r="P27" s="87"/>
    </row>
    <row r="28" spans="1:16">
      <c r="A28" s="102" t="str">
        <f>B8</f>
        <v>Double Plough</v>
      </c>
      <c r="B28" s="102"/>
      <c r="C28" s="267">
        <f>H8</f>
        <v>0</v>
      </c>
      <c r="D28" s="267">
        <f>K8</f>
        <v>3000</v>
      </c>
      <c r="E28" s="89">
        <f>$C$28*$D$28*E23</f>
        <v>0</v>
      </c>
      <c r="F28" s="89">
        <f t="shared" ref="F28:K28" si="4">$C$28*$D$28*F23</f>
        <v>0</v>
      </c>
      <c r="G28" s="89">
        <f t="shared" si="4"/>
        <v>0</v>
      </c>
      <c r="H28" s="89">
        <f t="shared" si="4"/>
        <v>0</v>
      </c>
      <c r="I28" s="89">
        <f t="shared" si="4"/>
        <v>0</v>
      </c>
      <c r="J28" s="89">
        <f t="shared" si="4"/>
        <v>0</v>
      </c>
      <c r="K28" s="89">
        <f t="shared" si="4"/>
        <v>0</v>
      </c>
      <c r="P28" s="87"/>
    </row>
    <row r="29" spans="1:16">
      <c r="A29" s="102" t="str">
        <f>B9</f>
        <v>Cultivator</v>
      </c>
      <c r="B29" s="102"/>
      <c r="C29" s="267">
        <f t="shared" ref="C29:C38" si="5">H9</f>
        <v>0</v>
      </c>
      <c r="D29" s="267">
        <f>K9</f>
        <v>1800</v>
      </c>
      <c r="E29" s="89">
        <f>$C$29*$D$29*E23</f>
        <v>0</v>
      </c>
      <c r="F29" s="89">
        <f t="shared" ref="F29:K29" si="6">$C$29*$D$29*F23</f>
        <v>0</v>
      </c>
      <c r="G29" s="89">
        <f t="shared" si="6"/>
        <v>0</v>
      </c>
      <c r="H29" s="89">
        <f t="shared" si="6"/>
        <v>0</v>
      </c>
      <c r="I29" s="89">
        <f t="shared" si="6"/>
        <v>0</v>
      </c>
      <c r="J29" s="89">
        <f t="shared" si="6"/>
        <v>0</v>
      </c>
      <c r="K29" s="89">
        <f t="shared" si="6"/>
        <v>0</v>
      </c>
      <c r="P29" s="87"/>
    </row>
    <row r="30" spans="1:16">
      <c r="A30" s="102" t="str">
        <f>B10</f>
        <v>Rotavator</v>
      </c>
      <c r="B30" s="102"/>
      <c r="C30" s="267">
        <f t="shared" si="5"/>
        <v>0</v>
      </c>
      <c r="D30" s="267">
        <f>K10</f>
        <v>1800</v>
      </c>
      <c r="E30" s="89">
        <f>$C$30*$D$30*E23</f>
        <v>0</v>
      </c>
      <c r="F30" s="89">
        <f t="shared" ref="F30:K30" si="7">$C$30*$D$30*F23</f>
        <v>0</v>
      </c>
      <c r="G30" s="89">
        <f t="shared" si="7"/>
        <v>0</v>
      </c>
      <c r="H30" s="89">
        <f t="shared" si="7"/>
        <v>0</v>
      </c>
      <c r="I30" s="89">
        <f t="shared" si="7"/>
        <v>0</v>
      </c>
      <c r="J30" s="89">
        <f t="shared" si="7"/>
        <v>0</v>
      </c>
      <c r="K30" s="89">
        <f t="shared" si="7"/>
        <v>0</v>
      </c>
      <c r="P30" s="87"/>
    </row>
    <row r="31" spans="1:16">
      <c r="A31" s="102" t="str">
        <f>B11</f>
        <v>BBF Seed Sowing Machine</v>
      </c>
      <c r="B31" s="102"/>
      <c r="C31" s="267">
        <f t="shared" si="5"/>
        <v>0</v>
      </c>
      <c r="D31" s="267">
        <f>K11</f>
        <v>1200</v>
      </c>
      <c r="E31" s="89">
        <f>$C$31*$D$31*E23</f>
        <v>0</v>
      </c>
      <c r="F31" s="89">
        <f t="shared" ref="F31:K31" si="8">$C$31*$D$31*F23</f>
        <v>0</v>
      </c>
      <c r="G31" s="89">
        <f t="shared" si="8"/>
        <v>0</v>
      </c>
      <c r="H31" s="89">
        <f t="shared" si="8"/>
        <v>0</v>
      </c>
      <c r="I31" s="89">
        <f t="shared" si="8"/>
        <v>0</v>
      </c>
      <c r="J31" s="89">
        <f t="shared" si="8"/>
        <v>0</v>
      </c>
      <c r="K31" s="89">
        <f t="shared" si="8"/>
        <v>0</v>
      </c>
      <c r="P31" s="87"/>
    </row>
    <row r="32" spans="1:16">
      <c r="A32" s="102" t="str">
        <f>B12</f>
        <v>Mobile Threshing</v>
      </c>
      <c r="B32" s="102"/>
      <c r="C32" s="267">
        <f t="shared" si="5"/>
        <v>0</v>
      </c>
      <c r="D32" s="267">
        <f>K12</f>
        <v>3000</v>
      </c>
      <c r="E32" s="89">
        <f>$C$32*$D$32*E23</f>
        <v>0</v>
      </c>
      <c r="F32" s="89">
        <f t="shared" ref="F32:K32" si="9">$C$32*$D$32*F23</f>
        <v>0</v>
      </c>
      <c r="G32" s="89">
        <f t="shared" si="9"/>
        <v>0</v>
      </c>
      <c r="H32" s="89">
        <f t="shared" si="9"/>
        <v>0</v>
      </c>
      <c r="I32" s="89">
        <f t="shared" si="9"/>
        <v>0</v>
      </c>
      <c r="J32" s="89">
        <f t="shared" si="9"/>
        <v>0</v>
      </c>
      <c r="K32" s="89">
        <f t="shared" si="9"/>
        <v>0</v>
      </c>
      <c r="P32" s="87"/>
    </row>
    <row r="33" spans="1:16">
      <c r="A33" s="102"/>
      <c r="B33" s="102"/>
      <c r="C33" s="267">
        <f t="shared" si="5"/>
        <v>0</v>
      </c>
      <c r="D33" s="267">
        <f t="shared" ref="D33:D38" si="10">K13</f>
        <v>0</v>
      </c>
      <c r="E33" s="89">
        <f>$C$33*$D$33*E23</f>
        <v>0</v>
      </c>
      <c r="F33" s="89">
        <f t="shared" ref="F33:K33" si="11">$C$33*$D$33*F23</f>
        <v>0</v>
      </c>
      <c r="G33" s="89">
        <f t="shared" si="11"/>
        <v>0</v>
      </c>
      <c r="H33" s="89">
        <f t="shared" si="11"/>
        <v>0</v>
      </c>
      <c r="I33" s="89">
        <f t="shared" si="11"/>
        <v>0</v>
      </c>
      <c r="J33" s="89">
        <f t="shared" si="11"/>
        <v>0</v>
      </c>
      <c r="K33" s="89">
        <f t="shared" si="11"/>
        <v>0</v>
      </c>
      <c r="P33" s="87"/>
    </row>
    <row r="34" spans="1:16">
      <c r="A34" s="102"/>
      <c r="B34" s="102"/>
      <c r="C34" s="267">
        <f t="shared" si="5"/>
        <v>0</v>
      </c>
      <c r="D34" s="267">
        <f t="shared" si="10"/>
        <v>0</v>
      </c>
      <c r="E34" s="89">
        <f>$C$34*$D$34*E23</f>
        <v>0</v>
      </c>
      <c r="F34" s="89">
        <f t="shared" ref="F34:K34" si="12">$C$34*$D$34*F23</f>
        <v>0</v>
      </c>
      <c r="G34" s="89">
        <f t="shared" si="12"/>
        <v>0</v>
      </c>
      <c r="H34" s="89">
        <f t="shared" si="12"/>
        <v>0</v>
      </c>
      <c r="I34" s="89">
        <f t="shared" si="12"/>
        <v>0</v>
      </c>
      <c r="J34" s="89">
        <f t="shared" si="12"/>
        <v>0</v>
      </c>
      <c r="K34" s="89">
        <f t="shared" si="12"/>
        <v>0</v>
      </c>
      <c r="P34" s="87"/>
    </row>
    <row r="35" spans="1:16">
      <c r="A35" s="102"/>
      <c r="B35" s="102"/>
      <c r="C35" s="267">
        <f t="shared" si="5"/>
        <v>0</v>
      </c>
      <c r="D35" s="267">
        <f t="shared" si="10"/>
        <v>0</v>
      </c>
      <c r="E35" s="89">
        <f>$C$35*$D$35*E23</f>
        <v>0</v>
      </c>
      <c r="F35" s="89">
        <f t="shared" ref="F35:K35" si="13">$C$35*$D$35*F23</f>
        <v>0</v>
      </c>
      <c r="G35" s="89">
        <f t="shared" si="13"/>
        <v>0</v>
      </c>
      <c r="H35" s="89">
        <f t="shared" si="13"/>
        <v>0</v>
      </c>
      <c r="I35" s="89">
        <f t="shared" si="13"/>
        <v>0</v>
      </c>
      <c r="J35" s="89">
        <f t="shared" si="13"/>
        <v>0</v>
      </c>
      <c r="K35" s="89">
        <f t="shared" si="13"/>
        <v>0</v>
      </c>
      <c r="P35" s="87"/>
    </row>
    <row r="36" spans="1:16">
      <c r="A36" s="102"/>
      <c r="B36" s="102"/>
      <c r="C36" s="267">
        <f t="shared" si="5"/>
        <v>0</v>
      </c>
      <c r="D36" s="267">
        <f t="shared" si="10"/>
        <v>0</v>
      </c>
      <c r="E36" s="89">
        <f>$C$36*$D$36*E23</f>
        <v>0</v>
      </c>
      <c r="F36" s="89">
        <f t="shared" ref="F36:K36" si="14">$C$36*$D$36*F23</f>
        <v>0</v>
      </c>
      <c r="G36" s="89">
        <f t="shared" si="14"/>
        <v>0</v>
      </c>
      <c r="H36" s="89">
        <f t="shared" si="14"/>
        <v>0</v>
      </c>
      <c r="I36" s="89">
        <f t="shared" si="14"/>
        <v>0</v>
      </c>
      <c r="J36" s="89">
        <f t="shared" si="14"/>
        <v>0</v>
      </c>
      <c r="K36" s="89">
        <f t="shared" si="14"/>
        <v>0</v>
      </c>
      <c r="P36" s="87"/>
    </row>
    <row r="37" spans="1:16">
      <c r="A37" s="102"/>
      <c r="B37" s="102"/>
      <c r="C37" s="267">
        <f t="shared" si="5"/>
        <v>0</v>
      </c>
      <c r="D37" s="267">
        <f t="shared" si="10"/>
        <v>0</v>
      </c>
      <c r="E37" s="89">
        <f>$C$37*$D$37*E23</f>
        <v>0</v>
      </c>
      <c r="F37" s="89">
        <f t="shared" ref="F37:K37" si="15">$C$37*$D$37*F23</f>
        <v>0</v>
      </c>
      <c r="G37" s="89">
        <f t="shared" si="15"/>
        <v>0</v>
      </c>
      <c r="H37" s="89">
        <f t="shared" si="15"/>
        <v>0</v>
      </c>
      <c r="I37" s="89">
        <f t="shared" si="15"/>
        <v>0</v>
      </c>
      <c r="J37" s="89">
        <f t="shared" si="15"/>
        <v>0</v>
      </c>
      <c r="K37" s="89">
        <f t="shared" si="15"/>
        <v>0</v>
      </c>
      <c r="P37" s="87"/>
    </row>
    <row r="38" spans="1:16">
      <c r="A38" s="90"/>
      <c r="B38" s="90"/>
      <c r="C38" s="267">
        <f t="shared" si="5"/>
        <v>0</v>
      </c>
      <c r="D38" s="267">
        <f t="shared" si="10"/>
        <v>0</v>
      </c>
      <c r="E38" s="89">
        <f>$C$38*$D$38*E23</f>
        <v>0</v>
      </c>
      <c r="F38" s="89">
        <f t="shared" ref="F38:K38" si="16">$C$38*$D$38*F23</f>
        <v>0</v>
      </c>
      <c r="G38" s="89">
        <f t="shared" si="16"/>
        <v>0</v>
      </c>
      <c r="H38" s="89">
        <f t="shared" si="16"/>
        <v>0</v>
      </c>
      <c r="I38" s="89">
        <f t="shared" si="16"/>
        <v>0</v>
      </c>
      <c r="J38" s="89">
        <f t="shared" si="16"/>
        <v>0</v>
      </c>
      <c r="K38" s="89">
        <f t="shared" si="16"/>
        <v>0</v>
      </c>
      <c r="P38" s="87"/>
    </row>
    <row r="39" spans="1:16">
      <c r="A39" s="90" t="s">
        <v>144</v>
      </c>
      <c r="B39" s="90"/>
      <c r="C39" s="94"/>
      <c r="D39" s="94"/>
      <c r="E39" s="89">
        <f>SUM(E28:E38)</f>
        <v>0</v>
      </c>
      <c r="F39" s="89">
        <f t="shared" ref="F39:K39" si="17">SUM(F28:F38)</f>
        <v>0</v>
      </c>
      <c r="G39" s="89">
        <f t="shared" si="17"/>
        <v>0</v>
      </c>
      <c r="H39" s="89">
        <f t="shared" si="17"/>
        <v>0</v>
      </c>
      <c r="I39" s="89">
        <f t="shared" si="17"/>
        <v>0</v>
      </c>
      <c r="J39" s="89">
        <f t="shared" si="17"/>
        <v>0</v>
      </c>
      <c r="K39" s="89">
        <f t="shared" si="17"/>
        <v>0</v>
      </c>
      <c r="P39" s="87"/>
    </row>
    <row r="40" spans="1:16">
      <c r="A40" s="88"/>
      <c r="B40" s="88"/>
      <c r="C40" s="92"/>
      <c r="D40" s="92"/>
      <c r="E40" s="89"/>
      <c r="F40" s="89"/>
      <c r="G40" s="89"/>
      <c r="H40" s="89"/>
      <c r="I40" s="89"/>
      <c r="J40" s="89"/>
      <c r="K40" s="89"/>
      <c r="P40" s="87"/>
    </row>
    <row r="41" spans="1:16">
      <c r="A41" s="90" t="s">
        <v>143</v>
      </c>
      <c r="B41" s="90"/>
      <c r="C41" s="94"/>
      <c r="D41" s="94"/>
      <c r="E41" s="89"/>
      <c r="F41" s="89"/>
      <c r="G41" s="89"/>
      <c r="H41" s="89"/>
      <c r="I41" s="89"/>
      <c r="J41" s="89"/>
      <c r="K41" s="89"/>
      <c r="P41" s="87"/>
    </row>
    <row r="42" spans="1:16">
      <c r="A42" s="90" t="s">
        <v>311</v>
      </c>
      <c r="B42" s="90"/>
      <c r="C42" s="94"/>
      <c r="D42" s="94"/>
      <c r="E42" s="89"/>
      <c r="F42" s="89"/>
      <c r="G42" s="89"/>
      <c r="H42" s="89"/>
      <c r="I42" s="89"/>
      <c r="J42" s="89"/>
      <c r="K42" s="89"/>
    </row>
    <row r="43" spans="1:16">
      <c r="A43" s="88" t="s">
        <v>312</v>
      </c>
      <c r="B43" s="88" t="s">
        <v>457</v>
      </c>
      <c r="C43" s="92">
        <f>SUM(J8:J17)</f>
        <v>0</v>
      </c>
      <c r="D43" s="217">
        <v>100</v>
      </c>
      <c r="E43" s="89">
        <f>$C$43*$D$43*E23</f>
        <v>0</v>
      </c>
      <c r="F43" s="89">
        <f t="shared" ref="F43:K43" si="18">$C$43*$D$43*F23</f>
        <v>0</v>
      </c>
      <c r="G43" s="89">
        <f t="shared" si="18"/>
        <v>0</v>
      </c>
      <c r="H43" s="89">
        <f t="shared" si="18"/>
        <v>0</v>
      </c>
      <c r="I43" s="89">
        <f t="shared" si="18"/>
        <v>0</v>
      </c>
      <c r="J43" s="89">
        <f t="shared" si="18"/>
        <v>0</v>
      </c>
      <c r="K43" s="89">
        <f t="shared" si="18"/>
        <v>0</v>
      </c>
    </row>
    <row r="44" spans="1:16">
      <c r="A44" s="88" t="s">
        <v>313</v>
      </c>
      <c r="B44" s="88" t="s">
        <v>459</v>
      </c>
      <c r="C44" s="92">
        <f>SUM(M8:M17)</f>
        <v>0</v>
      </c>
      <c r="D44" s="217">
        <v>300</v>
      </c>
      <c r="E44" s="89">
        <f>$C$44*$D$44*E23</f>
        <v>0</v>
      </c>
      <c r="F44" s="89">
        <f t="shared" ref="F44:K44" si="19">$C$44*$D$44*F23</f>
        <v>0</v>
      </c>
      <c r="G44" s="89">
        <f t="shared" si="19"/>
        <v>0</v>
      </c>
      <c r="H44" s="89">
        <f t="shared" si="19"/>
        <v>0</v>
      </c>
      <c r="I44" s="89">
        <f t="shared" si="19"/>
        <v>0</v>
      </c>
      <c r="J44" s="89">
        <f t="shared" si="19"/>
        <v>0</v>
      </c>
      <c r="K44" s="89">
        <f t="shared" si="19"/>
        <v>0</v>
      </c>
    </row>
    <row r="45" spans="1:16">
      <c r="A45" s="88"/>
      <c r="B45" s="88"/>
      <c r="C45" s="217"/>
      <c r="D45" s="217"/>
      <c r="E45" s="89"/>
      <c r="F45" s="89"/>
      <c r="G45" s="89"/>
      <c r="H45" s="89"/>
      <c r="I45" s="89"/>
      <c r="J45" s="89"/>
      <c r="K45" s="89"/>
    </row>
    <row r="46" spans="1:16">
      <c r="A46" s="88"/>
      <c r="B46" s="88"/>
      <c r="C46" s="217"/>
      <c r="D46" s="217"/>
      <c r="E46" s="89"/>
      <c r="F46" s="89"/>
      <c r="G46" s="89"/>
      <c r="H46" s="89"/>
      <c r="I46" s="89"/>
      <c r="J46" s="89"/>
      <c r="K46" s="89"/>
    </row>
    <row r="47" spans="1:16">
      <c r="A47" s="88"/>
      <c r="B47" s="88"/>
      <c r="C47" s="217"/>
      <c r="D47" s="217"/>
      <c r="E47" s="89"/>
      <c r="F47" s="89"/>
      <c r="G47" s="89"/>
      <c r="H47" s="89"/>
      <c r="I47" s="89"/>
      <c r="J47" s="89"/>
      <c r="K47" s="89"/>
    </row>
    <row r="48" spans="1:16">
      <c r="A48" s="88"/>
      <c r="B48" s="88"/>
      <c r="C48" s="217"/>
      <c r="D48" s="217"/>
      <c r="E48" s="89"/>
      <c r="F48" s="89"/>
      <c r="G48" s="89"/>
      <c r="H48" s="89"/>
      <c r="I48" s="89"/>
      <c r="J48" s="89"/>
      <c r="K48" s="89"/>
    </row>
    <row r="49" spans="1:12">
      <c r="A49" s="90" t="s">
        <v>327</v>
      </c>
      <c r="B49" s="90"/>
      <c r="C49" s="219"/>
      <c r="D49" s="219"/>
      <c r="E49" s="108">
        <f>SUM(E43:E48)</f>
        <v>0</v>
      </c>
      <c r="F49" s="108">
        <f t="shared" ref="F49:K49" si="20">SUM(F43:F48)</f>
        <v>0</v>
      </c>
      <c r="G49" s="108">
        <f t="shared" si="20"/>
        <v>0</v>
      </c>
      <c r="H49" s="108">
        <f t="shared" si="20"/>
        <v>0</v>
      </c>
      <c r="I49" s="108">
        <f t="shared" si="20"/>
        <v>0</v>
      </c>
      <c r="J49" s="108">
        <f t="shared" si="20"/>
        <v>0</v>
      </c>
      <c r="K49" s="108">
        <f t="shared" si="20"/>
        <v>0</v>
      </c>
    </row>
    <row r="50" spans="1:12">
      <c r="A50" s="90"/>
      <c r="B50" s="90"/>
      <c r="C50" s="219"/>
      <c r="D50" s="219"/>
      <c r="E50" s="108"/>
      <c r="F50" s="108"/>
      <c r="G50" s="108"/>
      <c r="H50" s="108"/>
      <c r="I50" s="108"/>
      <c r="J50" s="108"/>
      <c r="K50" s="108"/>
    </row>
    <row r="51" spans="1:12">
      <c r="A51" s="189" t="s">
        <v>314</v>
      </c>
      <c r="B51" s="189"/>
      <c r="C51" s="231"/>
      <c r="D51" s="231"/>
      <c r="E51" s="89"/>
      <c r="F51" s="89"/>
      <c r="G51" s="89"/>
      <c r="H51" s="89"/>
      <c r="I51" s="89"/>
      <c r="J51" s="89"/>
      <c r="K51" s="89"/>
    </row>
    <row r="52" spans="1:12">
      <c r="A52" s="102" t="s">
        <v>315</v>
      </c>
      <c r="B52" s="88" t="s">
        <v>401</v>
      </c>
      <c r="C52" s="231">
        <v>1</v>
      </c>
      <c r="D52" s="232"/>
      <c r="E52" s="89">
        <f t="shared" ref="E52:K52" si="21">$C$52*$D$52*12*E23</f>
        <v>0</v>
      </c>
      <c r="F52" s="89">
        <f t="shared" si="21"/>
        <v>0</v>
      </c>
      <c r="G52" s="89">
        <f t="shared" si="21"/>
        <v>0</v>
      </c>
      <c r="H52" s="89">
        <f t="shared" si="21"/>
        <v>0</v>
      </c>
      <c r="I52" s="89">
        <f t="shared" si="21"/>
        <v>0</v>
      </c>
      <c r="J52" s="89">
        <f t="shared" si="21"/>
        <v>0</v>
      </c>
      <c r="K52" s="89">
        <f t="shared" si="21"/>
        <v>0</v>
      </c>
    </row>
    <row r="53" spans="1:12">
      <c r="A53" s="102"/>
      <c r="B53" s="102"/>
      <c r="C53" s="231"/>
      <c r="D53" s="232"/>
      <c r="E53" s="89"/>
      <c r="F53" s="89"/>
      <c r="G53" s="89"/>
      <c r="H53" s="89"/>
      <c r="I53" s="89"/>
      <c r="J53" s="89"/>
      <c r="K53" s="89"/>
    </row>
    <row r="54" spans="1:12">
      <c r="A54" s="102"/>
      <c r="B54" s="102"/>
      <c r="C54" s="231"/>
      <c r="D54" s="232"/>
      <c r="E54" s="89"/>
      <c r="F54" s="89"/>
      <c r="G54" s="89"/>
      <c r="H54" s="89"/>
      <c r="I54" s="89"/>
      <c r="J54" s="89"/>
      <c r="K54" s="89"/>
    </row>
    <row r="55" spans="1:12">
      <c r="A55" s="102"/>
      <c r="B55" s="102"/>
      <c r="C55" s="231"/>
      <c r="D55" s="232"/>
      <c r="E55" s="89"/>
      <c r="F55" s="89"/>
      <c r="G55" s="89"/>
      <c r="H55" s="89"/>
      <c r="I55" s="89"/>
      <c r="J55" s="89"/>
      <c r="K55" s="89"/>
    </row>
    <row r="56" spans="1:12">
      <c r="A56" s="90" t="s">
        <v>331</v>
      </c>
      <c r="B56" s="90"/>
      <c r="C56" s="90"/>
      <c r="D56" s="90"/>
      <c r="E56" s="108">
        <f>SUM(E52:E55)</f>
        <v>0</v>
      </c>
      <c r="F56" s="108">
        <f t="shared" ref="F56:K56" si="22">SUM(F52:F55)</f>
        <v>0</v>
      </c>
      <c r="G56" s="108">
        <f t="shared" si="22"/>
        <v>0</v>
      </c>
      <c r="H56" s="108">
        <f t="shared" si="22"/>
        <v>0</v>
      </c>
      <c r="I56" s="108">
        <f t="shared" si="22"/>
        <v>0</v>
      </c>
      <c r="J56" s="108">
        <f t="shared" si="22"/>
        <v>0</v>
      </c>
      <c r="K56" s="108">
        <f t="shared" si="22"/>
        <v>0</v>
      </c>
    </row>
    <row r="57" spans="1:12">
      <c r="A57" s="90" t="s">
        <v>130</v>
      </c>
      <c r="B57" s="90"/>
      <c r="C57" s="90"/>
      <c r="D57" s="90"/>
      <c r="E57" s="108">
        <f>E49+E56</f>
        <v>0</v>
      </c>
      <c r="F57" s="108">
        <f t="shared" ref="F57:K57" si="23">F49+F56</f>
        <v>0</v>
      </c>
      <c r="G57" s="108">
        <f t="shared" si="23"/>
        <v>0</v>
      </c>
      <c r="H57" s="108">
        <f t="shared" si="23"/>
        <v>0</v>
      </c>
      <c r="I57" s="108">
        <f t="shared" si="23"/>
        <v>0</v>
      </c>
      <c r="J57" s="108">
        <f t="shared" si="23"/>
        <v>0</v>
      </c>
      <c r="K57" s="108">
        <f t="shared" si="23"/>
        <v>0</v>
      </c>
    </row>
    <row r="58" spans="1:12">
      <c r="A58" s="88"/>
      <c r="B58" s="88"/>
      <c r="C58" s="88"/>
      <c r="D58" s="88"/>
      <c r="E58" s="89"/>
      <c r="F58" s="89"/>
      <c r="G58" s="89"/>
      <c r="H58" s="89"/>
      <c r="I58" s="89"/>
      <c r="J58" s="89"/>
      <c r="K58" s="89"/>
    </row>
    <row r="59" spans="1:12">
      <c r="A59" s="90" t="s">
        <v>318</v>
      </c>
      <c r="B59" s="90"/>
      <c r="C59" s="90"/>
      <c r="D59" s="90"/>
      <c r="E59" s="108">
        <f t="shared" ref="E59:K59" si="24">E39-E57</f>
        <v>0</v>
      </c>
      <c r="F59" s="108">
        <f t="shared" si="24"/>
        <v>0</v>
      </c>
      <c r="G59" s="108">
        <f t="shared" si="24"/>
        <v>0</v>
      </c>
      <c r="H59" s="108">
        <f t="shared" si="24"/>
        <v>0</v>
      </c>
      <c r="I59" s="108">
        <f t="shared" si="24"/>
        <v>0</v>
      </c>
      <c r="J59" s="108">
        <f t="shared" si="24"/>
        <v>0</v>
      </c>
      <c r="K59" s="108">
        <f t="shared" si="24"/>
        <v>0</v>
      </c>
    </row>
    <row r="60" spans="1:12">
      <c r="A60" s="243"/>
      <c r="B60" s="243"/>
      <c r="C60" s="243"/>
      <c r="D60" s="243"/>
      <c r="E60" s="244"/>
      <c r="F60" s="244"/>
      <c r="G60" s="244"/>
      <c r="H60" s="244"/>
      <c r="I60" s="244"/>
      <c r="J60" s="244"/>
      <c r="K60" s="244"/>
    </row>
    <row r="61" spans="1:12">
      <c r="A61" s="87"/>
      <c r="B61" s="87"/>
      <c r="C61" s="243"/>
      <c r="D61" s="243"/>
      <c r="E61" s="244"/>
      <c r="F61" s="244"/>
      <c r="G61" s="244"/>
      <c r="H61" s="244"/>
      <c r="I61" s="244"/>
      <c r="J61" s="244"/>
      <c r="K61" s="244"/>
    </row>
    <row r="62" spans="1:12">
      <c r="A62" s="417" t="s">
        <v>432</v>
      </c>
      <c r="B62" s="417"/>
      <c r="C62" s="417"/>
      <c r="D62" s="417"/>
      <c r="E62" s="417"/>
      <c r="F62" s="417"/>
      <c r="G62" s="417"/>
      <c r="H62" s="417"/>
      <c r="I62" s="417"/>
      <c r="J62" s="417"/>
      <c r="K62" s="417"/>
      <c r="L62" s="417"/>
    </row>
    <row r="65" spans="1:2">
      <c r="A65" t="s">
        <v>555</v>
      </c>
    </row>
    <row r="66" spans="1:2">
      <c r="A66">
        <v>1</v>
      </c>
      <c r="B66" t="s">
        <v>568</v>
      </c>
    </row>
    <row r="67" spans="1:2">
      <c r="A67">
        <v>2</v>
      </c>
      <c r="B67" t="s">
        <v>569</v>
      </c>
    </row>
    <row r="68" spans="1:2">
      <c r="A68">
        <v>3</v>
      </c>
      <c r="B68" s="87" t="s">
        <v>621</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58" zoomScale="80" zoomScaleSheetLayoutView="80" workbookViewId="0">
      <selection activeCell="C121" sqref="C121"/>
    </sheetView>
  </sheetViews>
  <sheetFormatPr defaultRowHeight="14.5"/>
  <cols>
    <col min="1" max="1" width="41.1796875" bestFit="1" customWidth="1"/>
    <col min="2" max="2" width="4.453125" bestFit="1"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416" t="s">
        <v>614</v>
      </c>
      <c r="B2" s="416"/>
      <c r="C2" s="416"/>
      <c r="D2" s="416"/>
      <c r="E2" s="416"/>
      <c r="F2" s="416"/>
      <c r="G2" s="416"/>
      <c r="H2" s="416"/>
      <c r="I2" s="416"/>
    </row>
    <row r="4" spans="1:9">
      <c r="A4" s="87"/>
      <c r="B4" s="87"/>
      <c r="C4" s="87"/>
      <c r="D4" s="87"/>
      <c r="E4" s="87"/>
      <c r="F4" s="87"/>
      <c r="G4" s="87"/>
      <c r="H4" s="87"/>
      <c r="I4" s="87"/>
    </row>
    <row r="5" spans="1:9">
      <c r="A5" s="87"/>
      <c r="B5" s="87"/>
      <c r="C5" s="87"/>
      <c r="D5" s="87"/>
      <c r="E5" s="87"/>
      <c r="F5" s="87"/>
      <c r="G5" s="87"/>
      <c r="H5" s="87"/>
      <c r="I5" s="87"/>
    </row>
    <row r="6" spans="1:9">
      <c r="A6" s="141" t="s">
        <v>128</v>
      </c>
      <c r="B6" s="141"/>
      <c r="C6" s="113" t="s">
        <v>2</v>
      </c>
      <c r="D6" s="113" t="s">
        <v>3</v>
      </c>
      <c r="E6" s="113" t="s">
        <v>4</v>
      </c>
      <c r="F6" s="113" t="s">
        <v>5</v>
      </c>
      <c r="G6" s="113" t="s">
        <v>6</v>
      </c>
      <c r="H6" s="113" t="s">
        <v>171</v>
      </c>
      <c r="I6" s="113" t="s">
        <v>170</v>
      </c>
    </row>
    <row r="7" spans="1:9">
      <c r="A7" s="94" t="s">
        <v>571</v>
      </c>
      <c r="B7" s="92"/>
      <c r="C7" s="92"/>
      <c r="D7" s="92"/>
      <c r="E7" s="92"/>
      <c r="F7" s="92"/>
      <c r="G7" s="92"/>
      <c r="H7" s="92"/>
      <c r="I7" s="92"/>
    </row>
    <row r="8" spans="1:9">
      <c r="A8" s="94" t="s">
        <v>180</v>
      </c>
      <c r="B8" s="198"/>
      <c r="C8" s="230"/>
      <c r="D8" s="230"/>
      <c r="E8" s="230"/>
      <c r="F8" s="230"/>
      <c r="G8" s="230"/>
      <c r="H8" s="230"/>
      <c r="I8" s="230"/>
    </row>
    <row r="9" spans="1:9">
      <c r="A9" s="92" t="str">
        <f>'10.Grain Production details'!A92</f>
        <v>Soybean</v>
      </c>
      <c r="B9" s="198"/>
      <c r="C9" s="230">
        <f>'10.Grain Production details'!B92</f>
        <v>0</v>
      </c>
      <c r="D9" s="230">
        <f>'10.Grain Production details'!C92</f>
        <v>0</v>
      </c>
      <c r="E9" s="230">
        <f>'10.Grain Production details'!D92</f>
        <v>0</v>
      </c>
      <c r="F9" s="230">
        <f>'10.Grain Production details'!E92</f>
        <v>0</v>
      </c>
      <c r="G9" s="230">
        <f>'10.Grain Production details'!F92</f>
        <v>0</v>
      </c>
      <c r="H9" s="230">
        <f>'10.Grain Production details'!G92</f>
        <v>0</v>
      </c>
      <c r="I9" s="230">
        <f>'10.Grain Production details'!H92</f>
        <v>0</v>
      </c>
    </row>
    <row r="10" spans="1:9">
      <c r="A10" s="92" t="str">
        <f>'10.Grain Production details'!A93</f>
        <v>Red Gram/Tur</v>
      </c>
      <c r="B10" s="198"/>
      <c r="C10" s="230">
        <f>'10.Grain Production details'!B93</f>
        <v>0</v>
      </c>
      <c r="D10" s="230">
        <f>'10.Grain Production details'!C93</f>
        <v>0</v>
      </c>
      <c r="E10" s="230">
        <f>'10.Grain Production details'!D93</f>
        <v>0</v>
      </c>
      <c r="F10" s="230">
        <f>'10.Grain Production details'!E93</f>
        <v>0</v>
      </c>
      <c r="G10" s="230">
        <f>'10.Grain Production details'!F93</f>
        <v>0</v>
      </c>
      <c r="H10" s="230">
        <f>'10.Grain Production details'!G93</f>
        <v>0</v>
      </c>
      <c r="I10" s="230">
        <f>'10.Grain Production details'!H93</f>
        <v>0</v>
      </c>
    </row>
    <row r="11" spans="1:9">
      <c r="A11" s="92" t="str">
        <f>'10.Grain Production details'!A94</f>
        <v>Paddy/Rice</v>
      </c>
      <c r="B11" s="198"/>
      <c r="C11" s="230">
        <f>'10.Grain Production details'!B94</f>
        <v>0</v>
      </c>
      <c r="D11" s="230">
        <f>'10.Grain Production details'!C94</f>
        <v>0</v>
      </c>
      <c r="E11" s="230">
        <f>'10.Grain Production details'!D94</f>
        <v>0</v>
      </c>
      <c r="F11" s="230">
        <f>'10.Grain Production details'!E94</f>
        <v>0</v>
      </c>
      <c r="G11" s="230">
        <f>'10.Grain Production details'!F94</f>
        <v>0</v>
      </c>
      <c r="H11" s="230">
        <f>'10.Grain Production details'!G94</f>
        <v>0</v>
      </c>
      <c r="I11" s="230">
        <f>'10.Grain Production details'!H94</f>
        <v>0</v>
      </c>
    </row>
    <row r="12" spans="1:9">
      <c r="A12" s="92" t="str">
        <f>'10.Grain Production details'!A95</f>
        <v>Green Gram/ Moong</v>
      </c>
      <c r="B12" s="198"/>
      <c r="C12" s="230">
        <f>'10.Grain Production details'!B95</f>
        <v>0</v>
      </c>
      <c r="D12" s="230">
        <f>'10.Grain Production details'!C95</f>
        <v>0</v>
      </c>
      <c r="E12" s="230">
        <f>'10.Grain Production details'!D95</f>
        <v>0</v>
      </c>
      <c r="F12" s="230">
        <f>'10.Grain Production details'!E95</f>
        <v>0</v>
      </c>
      <c r="G12" s="230">
        <f>'10.Grain Production details'!F95</f>
        <v>0</v>
      </c>
      <c r="H12" s="230">
        <f>'10.Grain Production details'!G95</f>
        <v>0</v>
      </c>
      <c r="I12" s="230">
        <f>'10.Grain Production details'!H95</f>
        <v>0</v>
      </c>
    </row>
    <row r="13" spans="1:9">
      <c r="A13" s="92" t="str">
        <f>'10.Grain Production details'!A96</f>
        <v>Maize</v>
      </c>
      <c r="B13" s="198"/>
      <c r="C13" s="230">
        <f>'10.Grain Production details'!B96</f>
        <v>0</v>
      </c>
      <c r="D13" s="230">
        <f>'10.Grain Production details'!C96</f>
        <v>0</v>
      </c>
      <c r="E13" s="230">
        <f>'10.Grain Production details'!D96</f>
        <v>0</v>
      </c>
      <c r="F13" s="230">
        <f>'10.Grain Production details'!E96</f>
        <v>0</v>
      </c>
      <c r="G13" s="230">
        <f>'10.Grain Production details'!F96</f>
        <v>0</v>
      </c>
      <c r="H13" s="230">
        <f>'10.Grain Production details'!G96</f>
        <v>0</v>
      </c>
      <c r="I13" s="230">
        <f>'10.Grain Production details'!H96</f>
        <v>0</v>
      </c>
    </row>
    <row r="14" spans="1:9">
      <c r="A14" s="92" t="str">
        <f>'10.Grain Production details'!A97</f>
        <v>Black Gram/Udid</v>
      </c>
      <c r="B14" s="198"/>
      <c r="C14" s="230">
        <f>'10.Grain Production details'!B97</f>
        <v>0</v>
      </c>
      <c r="D14" s="230">
        <f>'10.Grain Production details'!C97</f>
        <v>0</v>
      </c>
      <c r="E14" s="230">
        <f>'10.Grain Production details'!D97</f>
        <v>0</v>
      </c>
      <c r="F14" s="230">
        <f>'10.Grain Production details'!E97</f>
        <v>0</v>
      </c>
      <c r="G14" s="230">
        <f>'10.Grain Production details'!F97</f>
        <v>0</v>
      </c>
      <c r="H14" s="230">
        <f>'10.Grain Production details'!G97</f>
        <v>0</v>
      </c>
      <c r="I14" s="230">
        <f>'10.Grain Production details'!H97</f>
        <v>0</v>
      </c>
    </row>
    <row r="15" spans="1:9">
      <c r="A15" s="92" t="str">
        <f>'10.Grain Production details'!A98</f>
        <v>Bajra</v>
      </c>
      <c r="B15" s="198"/>
      <c r="C15" s="230">
        <f>'10.Grain Production details'!B98</f>
        <v>0</v>
      </c>
      <c r="D15" s="230">
        <f>'10.Grain Production details'!C98</f>
        <v>0</v>
      </c>
      <c r="E15" s="230">
        <f>'10.Grain Production details'!D98</f>
        <v>0</v>
      </c>
      <c r="F15" s="230">
        <f>'10.Grain Production details'!E98</f>
        <v>0</v>
      </c>
      <c r="G15" s="230">
        <f>'10.Grain Production details'!F98</f>
        <v>0</v>
      </c>
      <c r="H15" s="230">
        <f>'10.Grain Production details'!G98</f>
        <v>0</v>
      </c>
      <c r="I15" s="230">
        <f>'10.Grain Production details'!H98</f>
        <v>0</v>
      </c>
    </row>
    <row r="16" spans="1:9">
      <c r="A16" s="92" t="str">
        <f>'10.Grain Production details'!A99</f>
        <v>Bengal Gram/Channa</v>
      </c>
      <c r="B16" s="198"/>
      <c r="C16" s="230">
        <f>'10.Grain Production details'!B99</f>
        <v>0</v>
      </c>
      <c r="D16" s="230">
        <f>'10.Grain Production details'!C99</f>
        <v>0</v>
      </c>
      <c r="E16" s="230">
        <f>'10.Grain Production details'!D99</f>
        <v>0</v>
      </c>
      <c r="F16" s="230">
        <f>'10.Grain Production details'!E99</f>
        <v>0</v>
      </c>
      <c r="G16" s="230">
        <f>'10.Grain Production details'!F99</f>
        <v>0</v>
      </c>
      <c r="H16" s="230">
        <f>'10.Grain Production details'!G99</f>
        <v>0</v>
      </c>
      <c r="I16" s="230">
        <f>'10.Grain Production details'!H99</f>
        <v>0</v>
      </c>
    </row>
    <row r="17" spans="1:9">
      <c r="A17" s="94" t="s">
        <v>184</v>
      </c>
      <c r="B17" s="198"/>
      <c r="C17" s="230"/>
      <c r="D17" s="230"/>
      <c r="E17" s="230"/>
      <c r="F17" s="230"/>
      <c r="G17" s="230"/>
      <c r="H17" s="230"/>
      <c r="I17" s="230"/>
    </row>
    <row r="18" spans="1:9">
      <c r="A18" s="92" t="str">
        <f>'10.Grain Production details'!A101</f>
        <v>Wheat</v>
      </c>
      <c r="B18" s="198"/>
      <c r="C18" s="230">
        <f>'10.Grain Production details'!B101</f>
        <v>0</v>
      </c>
      <c r="D18" s="230">
        <f>'10.Grain Production details'!C101</f>
        <v>0</v>
      </c>
      <c r="E18" s="230">
        <f>'10.Grain Production details'!D101</f>
        <v>0</v>
      </c>
      <c r="F18" s="230">
        <f>'10.Grain Production details'!E101</f>
        <v>0</v>
      </c>
      <c r="G18" s="230">
        <f>'10.Grain Production details'!F101</f>
        <v>0</v>
      </c>
      <c r="H18" s="230">
        <f>'10.Grain Production details'!G101</f>
        <v>0</v>
      </c>
      <c r="I18" s="230">
        <f>'10.Grain Production details'!H101</f>
        <v>0</v>
      </c>
    </row>
    <row r="19" spans="1:9">
      <c r="A19" s="92" t="str">
        <f>'10.Grain Production details'!A102</f>
        <v>Bengal Gram/Channa</v>
      </c>
      <c r="B19" s="198"/>
      <c r="C19" s="230">
        <f>'10.Grain Production details'!B102</f>
        <v>0</v>
      </c>
      <c r="D19" s="230">
        <f>'10.Grain Production details'!C102</f>
        <v>0</v>
      </c>
      <c r="E19" s="230">
        <f>'10.Grain Production details'!D102</f>
        <v>0</v>
      </c>
      <c r="F19" s="230">
        <f>'10.Grain Production details'!E102</f>
        <v>0</v>
      </c>
      <c r="G19" s="230">
        <f>'10.Grain Production details'!F102</f>
        <v>0</v>
      </c>
      <c r="H19" s="230">
        <f>'10.Grain Production details'!G102</f>
        <v>0</v>
      </c>
      <c r="I19" s="230">
        <f>'10.Grain Production details'!H102</f>
        <v>0</v>
      </c>
    </row>
    <row r="20" spans="1:9">
      <c r="A20" s="92" t="str">
        <f>'10.Grain Production details'!A103</f>
        <v>Jawar</v>
      </c>
      <c r="B20" s="198"/>
      <c r="C20" s="230">
        <f>'10.Grain Production details'!B103</f>
        <v>0</v>
      </c>
      <c r="D20" s="230">
        <f>'10.Grain Production details'!C103</f>
        <v>0</v>
      </c>
      <c r="E20" s="230">
        <f>'10.Grain Production details'!D103</f>
        <v>0</v>
      </c>
      <c r="F20" s="230">
        <f>'10.Grain Production details'!E103</f>
        <v>0</v>
      </c>
      <c r="G20" s="230">
        <f>'10.Grain Production details'!F103</f>
        <v>0</v>
      </c>
      <c r="H20" s="230">
        <f>'10.Grain Production details'!G103</f>
        <v>0</v>
      </c>
      <c r="I20" s="230">
        <f>'10.Grain Production details'!H103</f>
        <v>0</v>
      </c>
    </row>
    <row r="21" spans="1:9">
      <c r="A21" s="92" t="str">
        <f>'10.Grain Production details'!A104</f>
        <v>Maize</v>
      </c>
      <c r="B21" s="198"/>
      <c r="C21" s="230">
        <f>'10.Grain Production details'!B104</f>
        <v>0</v>
      </c>
      <c r="D21" s="230">
        <f>'10.Grain Production details'!C104</f>
        <v>0</v>
      </c>
      <c r="E21" s="230">
        <f>'10.Grain Production details'!D104</f>
        <v>0</v>
      </c>
      <c r="F21" s="230">
        <f>'10.Grain Production details'!E104</f>
        <v>0</v>
      </c>
      <c r="G21" s="230">
        <f>'10.Grain Production details'!F104</f>
        <v>0</v>
      </c>
      <c r="H21" s="230">
        <f>'10.Grain Production details'!G104</f>
        <v>0</v>
      </c>
      <c r="I21" s="230">
        <f>'10.Grain Production details'!H104</f>
        <v>0</v>
      </c>
    </row>
    <row r="22" spans="1:9">
      <c r="A22" s="92" t="str">
        <f>'10.Grain Production details'!A105</f>
        <v>Safflower</v>
      </c>
      <c r="B22" s="198"/>
      <c r="C22" s="230">
        <f>'10.Grain Production details'!B105</f>
        <v>0</v>
      </c>
      <c r="D22" s="230">
        <f>'10.Grain Production details'!C105</f>
        <v>0</v>
      </c>
      <c r="E22" s="230">
        <f>'10.Grain Production details'!D105</f>
        <v>0</v>
      </c>
      <c r="F22" s="230">
        <f>'10.Grain Production details'!E105</f>
        <v>0</v>
      </c>
      <c r="G22" s="230">
        <f>'10.Grain Production details'!F105</f>
        <v>0</v>
      </c>
      <c r="H22" s="230">
        <f>'10.Grain Production details'!G105</f>
        <v>0</v>
      </c>
      <c r="I22" s="230">
        <f>'10.Grain Production details'!H105</f>
        <v>0</v>
      </c>
    </row>
    <row r="23" spans="1:9">
      <c r="A23" s="92">
        <f>'10.Grain Production details'!A106</f>
        <v>0</v>
      </c>
      <c r="B23" s="198"/>
      <c r="C23" s="230">
        <f>'10.Grain Production details'!B106</f>
        <v>0</v>
      </c>
      <c r="D23" s="230">
        <f>'10.Grain Production details'!C106</f>
        <v>0</v>
      </c>
      <c r="E23" s="230">
        <f>'10.Grain Production details'!D106</f>
        <v>0</v>
      </c>
      <c r="F23" s="230">
        <f>'10.Grain Production details'!E106</f>
        <v>0</v>
      </c>
      <c r="G23" s="230">
        <f>'10.Grain Production details'!F106</f>
        <v>0</v>
      </c>
      <c r="H23" s="230">
        <f>'10.Grain Production details'!G106</f>
        <v>0</v>
      </c>
      <c r="I23" s="230">
        <f>'10.Grain Production details'!H106</f>
        <v>0</v>
      </c>
    </row>
    <row r="24" spans="1:9">
      <c r="A24" s="92">
        <f>'10.Grain Production details'!A107</f>
        <v>0</v>
      </c>
      <c r="B24" s="198"/>
      <c r="C24" s="230">
        <f>'10.Grain Production details'!B107</f>
        <v>0</v>
      </c>
      <c r="D24" s="230">
        <f>'10.Grain Production details'!C107</f>
        <v>0</v>
      </c>
      <c r="E24" s="230">
        <f>'10.Grain Production details'!D107</f>
        <v>0</v>
      </c>
      <c r="F24" s="230">
        <f>'10.Grain Production details'!E107</f>
        <v>0</v>
      </c>
      <c r="G24" s="230">
        <f>'10.Grain Production details'!F107</f>
        <v>0</v>
      </c>
      <c r="H24" s="230">
        <f>'10.Grain Production details'!G107</f>
        <v>0</v>
      </c>
      <c r="I24" s="230">
        <f>'10.Grain Production details'!H107</f>
        <v>0</v>
      </c>
    </row>
    <row r="25" spans="1:9">
      <c r="A25" s="92">
        <f>'10.Grain Production details'!A108</f>
        <v>0</v>
      </c>
      <c r="B25" s="198"/>
      <c r="C25" s="230">
        <f>'10.Grain Production details'!B108</f>
        <v>0</v>
      </c>
      <c r="D25" s="230">
        <f>'10.Grain Production details'!C108</f>
        <v>0</v>
      </c>
      <c r="E25" s="230">
        <f>'10.Grain Production details'!D108</f>
        <v>0</v>
      </c>
      <c r="F25" s="230">
        <f>'10.Grain Production details'!E108</f>
        <v>0</v>
      </c>
      <c r="G25" s="230">
        <f>'10.Grain Production details'!F108</f>
        <v>0</v>
      </c>
      <c r="H25" s="230">
        <f>'10.Grain Production details'!G108</f>
        <v>0</v>
      </c>
      <c r="I25" s="230">
        <f>'10.Grain Production details'!H108</f>
        <v>0</v>
      </c>
    </row>
    <row r="26" spans="1:9">
      <c r="A26" s="94" t="str">
        <f>'10.Grain Production details'!A33</f>
        <v>Summer</v>
      </c>
      <c r="B26" s="198"/>
      <c r="C26" s="230"/>
      <c r="D26" s="230"/>
      <c r="E26" s="230"/>
      <c r="F26" s="230"/>
      <c r="G26" s="230"/>
      <c r="H26" s="230"/>
      <c r="I26" s="230"/>
    </row>
    <row r="27" spans="1:9">
      <c r="A27" s="92" t="str">
        <f>'10.Grain Production details'!A109</f>
        <v>Groundnut</v>
      </c>
      <c r="B27" s="198"/>
      <c r="C27" s="230">
        <f>'10.Grain Production details'!B110</f>
        <v>0</v>
      </c>
      <c r="D27" s="230">
        <f>'10.Grain Production details'!C110</f>
        <v>0</v>
      </c>
      <c r="E27" s="230">
        <f>'10.Grain Production details'!D110</f>
        <v>0</v>
      </c>
      <c r="F27" s="230">
        <f>'10.Grain Production details'!E110</f>
        <v>0</v>
      </c>
      <c r="G27" s="230">
        <f>'10.Grain Production details'!F110</f>
        <v>0</v>
      </c>
      <c r="H27" s="230">
        <f>'10.Grain Production details'!G110</f>
        <v>0</v>
      </c>
      <c r="I27" s="230">
        <f>'10.Grain Production details'!H110</f>
        <v>0</v>
      </c>
    </row>
    <row r="28" spans="1:9">
      <c r="A28" s="92" t="str">
        <f>'10.Grain Production details'!A110</f>
        <v>Bengal Gram/Channa</v>
      </c>
      <c r="B28" s="198"/>
      <c r="C28" s="230">
        <f>'10.Grain Production details'!B111</f>
        <v>0</v>
      </c>
      <c r="D28" s="230">
        <f>'10.Grain Production details'!C111</f>
        <v>0</v>
      </c>
      <c r="E28" s="230">
        <f>'10.Grain Production details'!D111</f>
        <v>0</v>
      </c>
      <c r="F28" s="230">
        <f>'10.Grain Production details'!E111</f>
        <v>0</v>
      </c>
      <c r="G28" s="230">
        <f>'10.Grain Production details'!F111</f>
        <v>0</v>
      </c>
      <c r="H28" s="230">
        <f>'10.Grain Production details'!G111</f>
        <v>0</v>
      </c>
      <c r="I28" s="230">
        <f>'10.Grain Production details'!H111</f>
        <v>0</v>
      </c>
    </row>
    <row r="29" spans="1:9">
      <c r="A29" s="92">
        <f>'10.Grain Production details'!A111</f>
        <v>0</v>
      </c>
      <c r="B29" s="198"/>
      <c r="C29" s="230">
        <f>'10.Grain Production details'!B112</f>
        <v>0</v>
      </c>
      <c r="D29" s="230">
        <f>'10.Grain Production details'!C112</f>
        <v>0</v>
      </c>
      <c r="E29" s="230">
        <f>'10.Grain Production details'!D112</f>
        <v>0</v>
      </c>
      <c r="F29" s="230">
        <f>'10.Grain Production details'!E112</f>
        <v>0</v>
      </c>
      <c r="G29" s="230">
        <f>'10.Grain Production details'!F112</f>
        <v>0</v>
      </c>
      <c r="H29" s="230">
        <f>'10.Grain Production details'!G112</f>
        <v>0</v>
      </c>
      <c r="I29" s="230">
        <f>'10.Grain Production details'!H112</f>
        <v>0</v>
      </c>
    </row>
    <row r="30" spans="1:9">
      <c r="A30" s="92">
        <f>'10.Grain Production details'!A112</f>
        <v>0</v>
      </c>
      <c r="B30" s="198"/>
      <c r="C30" s="230">
        <f>'10.Grain Production details'!B113</f>
        <v>0</v>
      </c>
      <c r="D30" s="230">
        <f>'10.Grain Production details'!C113</f>
        <v>0</v>
      </c>
      <c r="E30" s="230">
        <f>'10.Grain Production details'!D113</f>
        <v>0</v>
      </c>
      <c r="F30" s="230">
        <f>'10.Grain Production details'!E113</f>
        <v>0</v>
      </c>
      <c r="G30" s="230">
        <f>'10.Grain Production details'!F113</f>
        <v>0</v>
      </c>
      <c r="H30" s="230">
        <f>'10.Grain Production details'!G113</f>
        <v>0</v>
      </c>
      <c r="I30" s="230">
        <f>'10.Grain Production details'!H113</f>
        <v>0</v>
      </c>
    </row>
    <row r="31" spans="1:9">
      <c r="A31" s="92">
        <f>'10.Grain Production details'!A113</f>
        <v>0</v>
      </c>
      <c r="B31" s="198"/>
      <c r="C31" s="230">
        <f>'10.Grain Production details'!C114</f>
        <v>0</v>
      </c>
      <c r="D31" s="230">
        <f>'10.Grain Production details'!D114</f>
        <v>0</v>
      </c>
      <c r="E31" s="230">
        <f>'10.Grain Production details'!E114</f>
        <v>0</v>
      </c>
      <c r="F31" s="230">
        <f>'10.Grain Production details'!F114</f>
        <v>0</v>
      </c>
      <c r="G31" s="230">
        <f>'10.Grain Production details'!G114</f>
        <v>0</v>
      </c>
      <c r="H31" s="230">
        <f>'10.Grain Production details'!H114</f>
        <v>0</v>
      </c>
      <c r="I31" s="230">
        <f>'10.Grain Production details'!I114</f>
        <v>0</v>
      </c>
    </row>
    <row r="32" spans="1:9">
      <c r="A32" s="94" t="str">
        <f>'11.F&amp;V Crop Production details'!A1:H1</f>
        <v>Fruit  &amp; Vegetables Crop Production Details</v>
      </c>
      <c r="B32" s="198"/>
      <c r="C32" s="230"/>
      <c r="D32" s="230"/>
      <c r="E32" s="230"/>
      <c r="F32" s="230"/>
      <c r="G32" s="230"/>
      <c r="H32" s="230"/>
      <c r="I32" s="230"/>
    </row>
    <row r="33" spans="1:9">
      <c r="A33" s="92" t="str">
        <f>'11.F&amp;V Crop Production details'!A102</f>
        <v>Onion</v>
      </c>
      <c r="B33" s="198"/>
      <c r="C33" s="230">
        <f>'11.F&amp;V Crop Production details'!B102</f>
        <v>0</v>
      </c>
      <c r="D33" s="230">
        <f>'11.F&amp;V Crop Production details'!C102</f>
        <v>0</v>
      </c>
      <c r="E33" s="230">
        <f>'11.F&amp;V Crop Production details'!D102</f>
        <v>0</v>
      </c>
      <c r="F33" s="230">
        <f>'11.F&amp;V Crop Production details'!E102</f>
        <v>0</v>
      </c>
      <c r="G33" s="230">
        <f>'11.F&amp;V Crop Production details'!F102</f>
        <v>0</v>
      </c>
      <c r="H33" s="230">
        <f>'11.F&amp;V Crop Production details'!G102</f>
        <v>0</v>
      </c>
      <c r="I33" s="230">
        <f>'11.F&amp;V Crop Production details'!H102</f>
        <v>0</v>
      </c>
    </row>
    <row r="34" spans="1:9">
      <c r="A34" s="92" t="str">
        <f>'11.F&amp;V Crop Production details'!A103</f>
        <v>Tomato</v>
      </c>
      <c r="B34" s="198"/>
      <c r="C34" s="230">
        <f>'11.F&amp;V Crop Production details'!B103</f>
        <v>0</v>
      </c>
      <c r="D34" s="230">
        <f>'11.F&amp;V Crop Production details'!C103</f>
        <v>0</v>
      </c>
      <c r="E34" s="230">
        <f>'11.F&amp;V Crop Production details'!D103</f>
        <v>0</v>
      </c>
      <c r="F34" s="230">
        <f>'11.F&amp;V Crop Production details'!E103</f>
        <v>0</v>
      </c>
      <c r="G34" s="230">
        <f>'11.F&amp;V Crop Production details'!F103</f>
        <v>0</v>
      </c>
      <c r="H34" s="230">
        <f>'11.F&amp;V Crop Production details'!G103</f>
        <v>0</v>
      </c>
      <c r="I34" s="230">
        <f>'11.F&amp;V Crop Production details'!H103</f>
        <v>0</v>
      </c>
    </row>
    <row r="35" spans="1:9">
      <c r="A35" s="92" t="str">
        <f>'11.F&amp;V Crop Production details'!A104</f>
        <v>Okra</v>
      </c>
      <c r="B35" s="198"/>
      <c r="C35" s="230">
        <f>'11.F&amp;V Crop Production details'!B104</f>
        <v>0</v>
      </c>
      <c r="D35" s="230">
        <f>'11.F&amp;V Crop Production details'!C104</f>
        <v>0</v>
      </c>
      <c r="E35" s="230">
        <f>'11.F&amp;V Crop Production details'!D104</f>
        <v>0</v>
      </c>
      <c r="F35" s="230">
        <f>'11.F&amp;V Crop Production details'!E104</f>
        <v>0</v>
      </c>
      <c r="G35" s="230">
        <f>'11.F&amp;V Crop Production details'!F104</f>
        <v>0</v>
      </c>
      <c r="H35" s="230">
        <f>'11.F&amp;V Crop Production details'!G104</f>
        <v>0</v>
      </c>
      <c r="I35" s="230">
        <f>'11.F&amp;V Crop Production details'!H104</f>
        <v>0</v>
      </c>
    </row>
    <row r="36" spans="1:9">
      <c r="A36" s="92" t="str">
        <f>'11.F&amp;V Crop Production details'!A105</f>
        <v>Chilli</v>
      </c>
      <c r="B36" s="198"/>
      <c r="C36" s="230">
        <f>'11.F&amp;V Crop Production details'!B105</f>
        <v>0</v>
      </c>
      <c r="D36" s="230">
        <f>'11.F&amp;V Crop Production details'!C105</f>
        <v>0</v>
      </c>
      <c r="E36" s="230">
        <f>'11.F&amp;V Crop Production details'!D105</f>
        <v>0</v>
      </c>
      <c r="F36" s="230">
        <f>'11.F&amp;V Crop Production details'!E105</f>
        <v>0</v>
      </c>
      <c r="G36" s="230">
        <f>'11.F&amp;V Crop Production details'!F105</f>
        <v>0</v>
      </c>
      <c r="H36" s="230">
        <f>'11.F&amp;V Crop Production details'!G105</f>
        <v>0</v>
      </c>
      <c r="I36" s="230">
        <f>'11.F&amp;V Crop Production details'!H105</f>
        <v>0</v>
      </c>
    </row>
    <row r="37" spans="1:9">
      <c r="A37" s="92" t="str">
        <f>'11.F&amp;V Crop Production details'!A106</f>
        <v>Potato</v>
      </c>
      <c r="B37" s="198"/>
      <c r="C37" s="230">
        <f>'11.F&amp;V Crop Production details'!B106</f>
        <v>0</v>
      </c>
      <c r="D37" s="230">
        <f>'11.F&amp;V Crop Production details'!C106</f>
        <v>0</v>
      </c>
      <c r="E37" s="230">
        <f>'11.F&amp;V Crop Production details'!D106</f>
        <v>0</v>
      </c>
      <c r="F37" s="230">
        <f>'11.F&amp;V Crop Production details'!E106</f>
        <v>0</v>
      </c>
      <c r="G37" s="230">
        <f>'11.F&amp;V Crop Production details'!F106</f>
        <v>0</v>
      </c>
      <c r="H37" s="230">
        <f>'11.F&amp;V Crop Production details'!G106</f>
        <v>0</v>
      </c>
      <c r="I37" s="230">
        <f>'11.F&amp;V Crop Production details'!H106</f>
        <v>0</v>
      </c>
    </row>
    <row r="38" spans="1:9">
      <c r="A38" s="92">
        <f>'11.F&amp;V Crop Production details'!A107</f>
        <v>0</v>
      </c>
      <c r="B38" s="198"/>
      <c r="C38" s="230">
        <f>'11.F&amp;V Crop Production details'!B107</f>
        <v>0</v>
      </c>
      <c r="D38" s="230">
        <f>'11.F&amp;V Crop Production details'!C107</f>
        <v>0</v>
      </c>
      <c r="E38" s="230">
        <f>'11.F&amp;V Crop Production details'!D107</f>
        <v>0</v>
      </c>
      <c r="F38" s="230">
        <f>'11.F&amp;V Crop Production details'!E107</f>
        <v>0</v>
      </c>
      <c r="G38" s="230">
        <f>'11.F&amp;V Crop Production details'!F107</f>
        <v>0</v>
      </c>
      <c r="H38" s="230">
        <f>'11.F&amp;V Crop Production details'!G107</f>
        <v>0</v>
      </c>
      <c r="I38" s="230">
        <f>'11.F&amp;V Crop Production details'!H107</f>
        <v>0</v>
      </c>
    </row>
    <row r="39" spans="1:9">
      <c r="A39" s="92">
        <f>'11.F&amp;V Crop Production details'!A108</f>
        <v>0</v>
      </c>
      <c r="B39" s="198"/>
      <c r="C39" s="230">
        <f>'11.F&amp;V Crop Production details'!B108</f>
        <v>0</v>
      </c>
      <c r="D39" s="230">
        <f>'11.F&amp;V Crop Production details'!C108</f>
        <v>0</v>
      </c>
      <c r="E39" s="230">
        <f>'11.F&amp;V Crop Production details'!D108</f>
        <v>0</v>
      </c>
      <c r="F39" s="230">
        <f>'11.F&amp;V Crop Production details'!E108</f>
        <v>0</v>
      </c>
      <c r="G39" s="230">
        <f>'11.F&amp;V Crop Production details'!F108</f>
        <v>0</v>
      </c>
      <c r="H39" s="230">
        <f>'11.F&amp;V Crop Production details'!G108</f>
        <v>0</v>
      </c>
      <c r="I39" s="230">
        <f>'11.F&amp;V Crop Production details'!H108</f>
        <v>0</v>
      </c>
    </row>
    <row r="40" spans="1:9">
      <c r="A40" s="92">
        <f>'11.F&amp;V Crop Production details'!A109</f>
        <v>0</v>
      </c>
      <c r="B40" s="198"/>
      <c r="C40" s="230">
        <f>'11.F&amp;V Crop Production details'!B109</f>
        <v>0</v>
      </c>
      <c r="D40" s="230">
        <f>'11.F&amp;V Crop Production details'!C109</f>
        <v>0</v>
      </c>
      <c r="E40" s="230">
        <f>'11.F&amp;V Crop Production details'!D109</f>
        <v>0</v>
      </c>
      <c r="F40" s="230">
        <f>'11.F&amp;V Crop Production details'!E109</f>
        <v>0</v>
      </c>
      <c r="G40" s="230">
        <f>'11.F&amp;V Crop Production details'!F109</f>
        <v>0</v>
      </c>
      <c r="H40" s="230">
        <f>'11.F&amp;V Crop Production details'!G109</f>
        <v>0</v>
      </c>
      <c r="I40" s="230">
        <f>'11.F&amp;V Crop Production details'!H109</f>
        <v>0</v>
      </c>
    </row>
    <row r="41" spans="1:9">
      <c r="A41" s="92">
        <f>'11.F&amp;V Crop Production details'!A110</f>
        <v>0</v>
      </c>
      <c r="B41" s="198"/>
      <c r="C41" s="230">
        <f>'11.F&amp;V Crop Production details'!B110</f>
        <v>0</v>
      </c>
      <c r="D41" s="230">
        <f>'11.F&amp;V Crop Production details'!C110</f>
        <v>0</v>
      </c>
      <c r="E41" s="230">
        <f>'11.F&amp;V Crop Production details'!D110</f>
        <v>0</v>
      </c>
      <c r="F41" s="230">
        <f>'11.F&amp;V Crop Production details'!E110</f>
        <v>0</v>
      </c>
      <c r="G41" s="230">
        <f>'11.F&amp;V Crop Production details'!F110</f>
        <v>0</v>
      </c>
      <c r="H41" s="230">
        <f>'11.F&amp;V Crop Production details'!G110</f>
        <v>0</v>
      </c>
      <c r="I41" s="230">
        <f>'11.F&amp;V Crop Production details'!H110</f>
        <v>0</v>
      </c>
    </row>
    <row r="42" spans="1:9">
      <c r="A42" s="92" t="str">
        <f>'11.F&amp;V Crop Production details'!A111</f>
        <v>Onion</v>
      </c>
      <c r="B42" s="198"/>
      <c r="C42" s="230">
        <f>'11.F&amp;V Crop Production details'!B111</f>
        <v>0</v>
      </c>
      <c r="D42" s="230">
        <f>'11.F&amp;V Crop Production details'!C111</f>
        <v>0</v>
      </c>
      <c r="E42" s="230">
        <f>'11.F&amp;V Crop Production details'!D111</f>
        <v>0</v>
      </c>
      <c r="F42" s="230">
        <f>'11.F&amp;V Crop Production details'!E111</f>
        <v>0</v>
      </c>
      <c r="G42" s="230">
        <f>'11.F&amp;V Crop Production details'!F111</f>
        <v>0</v>
      </c>
      <c r="H42" s="230">
        <f>'11.F&amp;V Crop Production details'!G111</f>
        <v>0</v>
      </c>
      <c r="I42" s="230">
        <f>'11.F&amp;V Crop Production details'!H111</f>
        <v>0</v>
      </c>
    </row>
    <row r="43" spans="1:9">
      <c r="A43" s="92" t="str">
        <f>'11.F&amp;V Crop Production details'!A112</f>
        <v>Tomato</v>
      </c>
      <c r="B43" s="198"/>
      <c r="C43" s="230">
        <f>'11.F&amp;V Crop Production details'!B112</f>
        <v>0</v>
      </c>
      <c r="D43" s="230">
        <f>'11.F&amp;V Crop Production details'!C112</f>
        <v>0</v>
      </c>
      <c r="E43" s="230">
        <f>'11.F&amp;V Crop Production details'!D112</f>
        <v>0</v>
      </c>
      <c r="F43" s="230">
        <f>'11.F&amp;V Crop Production details'!E112</f>
        <v>0</v>
      </c>
      <c r="G43" s="230">
        <f>'11.F&amp;V Crop Production details'!F112</f>
        <v>0</v>
      </c>
      <c r="H43" s="230">
        <f>'11.F&amp;V Crop Production details'!G112</f>
        <v>0</v>
      </c>
      <c r="I43" s="230">
        <f>'11.F&amp;V Crop Production details'!H112</f>
        <v>0</v>
      </c>
    </row>
    <row r="44" spans="1:9">
      <c r="A44" s="92" t="str">
        <f>'11.F&amp;V Crop Production details'!A113</f>
        <v>Okra</v>
      </c>
      <c r="B44" s="198"/>
      <c r="C44" s="230">
        <f>'11.F&amp;V Crop Production details'!B113</f>
        <v>0</v>
      </c>
      <c r="D44" s="230">
        <f>'11.F&amp;V Crop Production details'!C113</f>
        <v>0</v>
      </c>
      <c r="E44" s="230">
        <f>'11.F&amp;V Crop Production details'!D113</f>
        <v>0</v>
      </c>
      <c r="F44" s="230">
        <f>'11.F&amp;V Crop Production details'!E113</f>
        <v>0</v>
      </c>
      <c r="G44" s="230">
        <f>'11.F&amp;V Crop Production details'!F113</f>
        <v>0</v>
      </c>
      <c r="H44" s="230">
        <f>'11.F&amp;V Crop Production details'!G113</f>
        <v>0</v>
      </c>
      <c r="I44" s="230">
        <f>'11.F&amp;V Crop Production details'!H113</f>
        <v>0</v>
      </c>
    </row>
    <row r="45" spans="1:9">
      <c r="A45" s="92" t="str">
        <f>'11.F&amp;V Crop Production details'!A114</f>
        <v>Chilli</v>
      </c>
      <c r="B45" s="198"/>
      <c r="C45" s="230">
        <f>'11.F&amp;V Crop Production details'!B114</f>
        <v>0</v>
      </c>
      <c r="D45" s="230">
        <f>'11.F&amp;V Crop Production details'!C114</f>
        <v>0</v>
      </c>
      <c r="E45" s="230">
        <f>'11.F&amp;V Crop Production details'!D114</f>
        <v>0</v>
      </c>
      <c r="F45" s="230">
        <f>'11.F&amp;V Crop Production details'!E114</f>
        <v>0</v>
      </c>
      <c r="G45" s="230">
        <f>'11.F&amp;V Crop Production details'!F114</f>
        <v>0</v>
      </c>
      <c r="H45" s="230">
        <f>'11.F&amp;V Crop Production details'!G114</f>
        <v>0</v>
      </c>
      <c r="I45" s="230">
        <f>'11.F&amp;V Crop Production details'!H114</f>
        <v>0</v>
      </c>
    </row>
    <row r="46" spans="1:9">
      <c r="A46" s="92" t="str">
        <f>'11.F&amp;V Crop Production details'!A115</f>
        <v>Brinjal</v>
      </c>
      <c r="B46" s="198"/>
      <c r="C46" s="230">
        <f>'11.F&amp;V Crop Production details'!B115</f>
        <v>0</v>
      </c>
      <c r="D46" s="230">
        <f>'11.F&amp;V Crop Production details'!C115</f>
        <v>0</v>
      </c>
      <c r="E46" s="230">
        <f>'11.F&amp;V Crop Production details'!D115</f>
        <v>0</v>
      </c>
      <c r="F46" s="230">
        <f>'11.F&amp;V Crop Production details'!E115</f>
        <v>0</v>
      </c>
      <c r="G46" s="230">
        <f>'11.F&amp;V Crop Production details'!F115</f>
        <v>0</v>
      </c>
      <c r="H46" s="230">
        <f>'11.F&amp;V Crop Production details'!G115</f>
        <v>0</v>
      </c>
      <c r="I46" s="230">
        <f>'11.F&amp;V Crop Production details'!H115</f>
        <v>0</v>
      </c>
    </row>
    <row r="47" spans="1:9">
      <c r="A47" s="92">
        <f>'11.F&amp;V Crop Production details'!A116</f>
        <v>0</v>
      </c>
      <c r="B47" s="198"/>
      <c r="C47" s="230">
        <f>'11.F&amp;V Crop Production details'!B116</f>
        <v>0</v>
      </c>
      <c r="D47" s="230">
        <f>'11.F&amp;V Crop Production details'!C116</f>
        <v>0</v>
      </c>
      <c r="E47" s="230">
        <f>'11.F&amp;V Crop Production details'!D116</f>
        <v>0</v>
      </c>
      <c r="F47" s="230">
        <f>'11.F&amp;V Crop Production details'!E116</f>
        <v>0</v>
      </c>
      <c r="G47" s="230">
        <f>'11.F&amp;V Crop Production details'!F116</f>
        <v>0</v>
      </c>
      <c r="H47" s="230">
        <f>'11.F&amp;V Crop Production details'!G116</f>
        <v>0</v>
      </c>
      <c r="I47" s="230">
        <f>'11.F&amp;V Crop Production details'!H116</f>
        <v>0</v>
      </c>
    </row>
    <row r="48" spans="1:9">
      <c r="A48" s="92">
        <f>'11.F&amp;V Crop Production details'!A117</f>
        <v>0</v>
      </c>
      <c r="B48" s="198"/>
      <c r="C48" s="230">
        <f>'11.F&amp;V Crop Production details'!B117</f>
        <v>0</v>
      </c>
      <c r="D48" s="230">
        <f>'11.F&amp;V Crop Production details'!C117</f>
        <v>0</v>
      </c>
      <c r="E48" s="230">
        <f>'11.F&amp;V Crop Production details'!D117</f>
        <v>0</v>
      </c>
      <c r="F48" s="230">
        <f>'11.F&amp;V Crop Production details'!E117</f>
        <v>0</v>
      </c>
      <c r="G48" s="230">
        <f>'11.F&amp;V Crop Production details'!F117</f>
        <v>0</v>
      </c>
      <c r="H48" s="230">
        <f>'11.F&amp;V Crop Production details'!G117</f>
        <v>0</v>
      </c>
      <c r="I48" s="230">
        <f>'11.F&amp;V Crop Production details'!H117</f>
        <v>0</v>
      </c>
    </row>
    <row r="49" spans="1:9">
      <c r="A49" s="92">
        <f>'11.F&amp;V Crop Production details'!A118</f>
        <v>0</v>
      </c>
      <c r="B49" s="198"/>
      <c r="C49" s="230">
        <f>'11.F&amp;V Crop Production details'!B118</f>
        <v>0</v>
      </c>
      <c r="D49" s="230">
        <f>'11.F&amp;V Crop Production details'!C118</f>
        <v>0</v>
      </c>
      <c r="E49" s="230">
        <f>'11.F&amp;V Crop Production details'!D118</f>
        <v>0</v>
      </c>
      <c r="F49" s="230">
        <f>'11.F&amp;V Crop Production details'!E118</f>
        <v>0</v>
      </c>
      <c r="G49" s="230">
        <f>'11.F&amp;V Crop Production details'!F118</f>
        <v>0</v>
      </c>
      <c r="H49" s="230">
        <f>'11.F&amp;V Crop Production details'!G118</f>
        <v>0</v>
      </c>
      <c r="I49" s="230">
        <f>'11.F&amp;V Crop Production details'!H118</f>
        <v>0</v>
      </c>
    </row>
    <row r="50" spans="1:9">
      <c r="A50" s="92">
        <f>'11.F&amp;V Crop Production details'!A119</f>
        <v>0</v>
      </c>
      <c r="B50" s="198"/>
      <c r="C50" s="230">
        <f>'11.F&amp;V Crop Production details'!B119</f>
        <v>0</v>
      </c>
      <c r="D50" s="230">
        <f>'11.F&amp;V Crop Production details'!C119</f>
        <v>0</v>
      </c>
      <c r="E50" s="230">
        <f>'11.F&amp;V Crop Production details'!D119</f>
        <v>0</v>
      </c>
      <c r="F50" s="230">
        <f>'11.F&amp;V Crop Production details'!E119</f>
        <v>0</v>
      </c>
      <c r="G50" s="230">
        <f>'11.F&amp;V Crop Production details'!F119</f>
        <v>0</v>
      </c>
      <c r="H50" s="230">
        <f>'11.F&amp;V Crop Production details'!G119</f>
        <v>0</v>
      </c>
      <c r="I50" s="230">
        <f>'11.F&amp;V Crop Production details'!H119</f>
        <v>0</v>
      </c>
    </row>
    <row r="51" spans="1:9">
      <c r="A51" s="92">
        <f>'11.F&amp;V Crop Production details'!A120</f>
        <v>0</v>
      </c>
      <c r="B51" s="198"/>
      <c r="C51" s="230">
        <f>'11.F&amp;V Crop Production details'!B120</f>
        <v>0</v>
      </c>
      <c r="D51" s="230">
        <f>'11.F&amp;V Crop Production details'!C120</f>
        <v>0</v>
      </c>
      <c r="E51" s="230">
        <f>'11.F&amp;V Crop Production details'!D120</f>
        <v>0</v>
      </c>
      <c r="F51" s="230">
        <f>'11.F&amp;V Crop Production details'!E120</f>
        <v>0</v>
      </c>
      <c r="G51" s="230">
        <f>'11.F&amp;V Crop Production details'!F120</f>
        <v>0</v>
      </c>
      <c r="H51" s="230">
        <f>'11.F&amp;V Crop Production details'!G120</f>
        <v>0</v>
      </c>
      <c r="I51" s="230">
        <f>'11.F&amp;V Crop Production details'!H120</f>
        <v>0</v>
      </c>
    </row>
    <row r="52" spans="1:9">
      <c r="A52" s="92">
        <f>'11.F&amp;V Crop Production details'!A121</f>
        <v>0</v>
      </c>
      <c r="B52" s="198"/>
      <c r="C52" s="230">
        <f>'11.F&amp;V Crop Production details'!B121</f>
        <v>0</v>
      </c>
      <c r="D52" s="230">
        <f>'11.F&amp;V Crop Production details'!C121</f>
        <v>0</v>
      </c>
      <c r="E52" s="230">
        <f>'11.F&amp;V Crop Production details'!D121</f>
        <v>0</v>
      </c>
      <c r="F52" s="230">
        <f>'11.F&amp;V Crop Production details'!E121</f>
        <v>0</v>
      </c>
      <c r="G52" s="230">
        <f>'11.F&amp;V Crop Production details'!F121</f>
        <v>0</v>
      </c>
      <c r="H52" s="230">
        <f>'11.F&amp;V Crop Production details'!G121</f>
        <v>0</v>
      </c>
      <c r="I52" s="230">
        <f>'11.F&amp;V Crop Production details'!H121</f>
        <v>0</v>
      </c>
    </row>
    <row r="53" spans="1:9">
      <c r="A53" s="92">
        <f>'11.F&amp;V Crop Production details'!A122</f>
        <v>0</v>
      </c>
      <c r="B53" s="198"/>
      <c r="C53" s="230">
        <f>'11.F&amp;V Crop Production details'!B122</f>
        <v>0</v>
      </c>
      <c r="D53" s="230">
        <f>'11.F&amp;V Crop Production details'!C122</f>
        <v>0</v>
      </c>
      <c r="E53" s="230">
        <f>'11.F&amp;V Crop Production details'!D122</f>
        <v>0</v>
      </c>
      <c r="F53" s="230">
        <f>'11.F&amp;V Crop Production details'!E122</f>
        <v>0</v>
      </c>
      <c r="G53" s="230">
        <f>'11.F&amp;V Crop Production details'!F122</f>
        <v>0</v>
      </c>
      <c r="H53" s="230">
        <f>'11.F&amp;V Crop Production details'!G122</f>
        <v>0</v>
      </c>
      <c r="I53" s="230">
        <f>'11.F&amp;V Crop Production details'!H122</f>
        <v>0</v>
      </c>
    </row>
    <row r="54" spans="1:9">
      <c r="A54" s="92" t="str">
        <f>'11.F&amp;V Crop Production details'!A123</f>
        <v>Pomegranate</v>
      </c>
      <c r="B54" s="198"/>
      <c r="C54" s="230">
        <f>'11.F&amp;V Crop Production details'!B123</f>
        <v>0</v>
      </c>
      <c r="D54" s="230">
        <f>'11.F&amp;V Crop Production details'!C123</f>
        <v>0</v>
      </c>
      <c r="E54" s="230">
        <f>'11.F&amp;V Crop Production details'!D123</f>
        <v>0</v>
      </c>
      <c r="F54" s="230">
        <f>'11.F&amp;V Crop Production details'!E123</f>
        <v>0</v>
      </c>
      <c r="G54" s="230">
        <f>'11.F&amp;V Crop Production details'!F123</f>
        <v>0</v>
      </c>
      <c r="H54" s="230">
        <f>'11.F&amp;V Crop Production details'!G123</f>
        <v>0</v>
      </c>
      <c r="I54" s="230">
        <f>'11.F&amp;V Crop Production details'!H123</f>
        <v>0</v>
      </c>
    </row>
    <row r="55" spans="1:9">
      <c r="A55" s="92" t="str">
        <f>'11.F&amp;V Crop Production details'!A124</f>
        <v>Custard Apple</v>
      </c>
      <c r="B55" s="198"/>
      <c r="C55" s="230">
        <f>'11.F&amp;V Crop Production details'!B124</f>
        <v>0</v>
      </c>
      <c r="D55" s="230">
        <f>'11.F&amp;V Crop Production details'!C124</f>
        <v>0</v>
      </c>
      <c r="E55" s="230">
        <f>'11.F&amp;V Crop Production details'!D124</f>
        <v>0</v>
      </c>
      <c r="F55" s="230">
        <f>'11.F&amp;V Crop Production details'!E124</f>
        <v>0</v>
      </c>
      <c r="G55" s="230">
        <f>'11.F&amp;V Crop Production details'!F124</f>
        <v>0</v>
      </c>
      <c r="H55" s="230">
        <f>'11.F&amp;V Crop Production details'!G124</f>
        <v>0</v>
      </c>
      <c r="I55" s="230">
        <f>'11.F&amp;V Crop Production details'!H124</f>
        <v>0</v>
      </c>
    </row>
    <row r="56" spans="1:9">
      <c r="A56" s="92" t="str">
        <f>'11.F&amp;V Crop Production details'!A125</f>
        <v>Guava</v>
      </c>
      <c r="B56" s="198"/>
      <c r="C56" s="230">
        <f>'11.F&amp;V Crop Production details'!B125</f>
        <v>0</v>
      </c>
      <c r="D56" s="230">
        <f>'11.F&amp;V Crop Production details'!C125</f>
        <v>0</v>
      </c>
      <c r="E56" s="230">
        <f>'11.F&amp;V Crop Production details'!D125</f>
        <v>0</v>
      </c>
      <c r="F56" s="230">
        <f>'11.F&amp;V Crop Production details'!E125</f>
        <v>0</v>
      </c>
      <c r="G56" s="230">
        <f>'11.F&amp;V Crop Production details'!F125</f>
        <v>0</v>
      </c>
      <c r="H56" s="230">
        <f>'11.F&amp;V Crop Production details'!G125</f>
        <v>0</v>
      </c>
      <c r="I56" s="230">
        <f>'11.F&amp;V Crop Production details'!H125</f>
        <v>0</v>
      </c>
    </row>
    <row r="57" spans="1:9">
      <c r="A57" s="92" t="str">
        <f>'11.F&amp;V Crop Production details'!A126</f>
        <v>Citrus</v>
      </c>
      <c r="B57" s="198"/>
      <c r="C57" s="230">
        <f>'11.F&amp;V Crop Production details'!B126</f>
        <v>0</v>
      </c>
      <c r="D57" s="230">
        <f>'11.F&amp;V Crop Production details'!C126</f>
        <v>0</v>
      </c>
      <c r="E57" s="230">
        <f>'11.F&amp;V Crop Production details'!D126</f>
        <v>0</v>
      </c>
      <c r="F57" s="230">
        <f>'11.F&amp;V Crop Production details'!E126</f>
        <v>0</v>
      </c>
      <c r="G57" s="230">
        <f>'11.F&amp;V Crop Production details'!F126</f>
        <v>0</v>
      </c>
      <c r="H57" s="230">
        <f>'11.F&amp;V Crop Production details'!G126</f>
        <v>0</v>
      </c>
      <c r="I57" s="230">
        <f>'11.F&amp;V Crop Production details'!H126</f>
        <v>0</v>
      </c>
    </row>
    <row r="58" spans="1:9">
      <c r="A58" s="92"/>
      <c r="B58" s="198"/>
      <c r="C58" s="198"/>
      <c r="D58" s="198"/>
      <c r="E58" s="198"/>
      <c r="F58" s="198"/>
      <c r="G58" s="198"/>
      <c r="H58" s="198"/>
      <c r="I58" s="198"/>
    </row>
    <row r="59" spans="1:9">
      <c r="A59" s="94" t="s">
        <v>185</v>
      </c>
      <c r="B59" s="92"/>
      <c r="C59" s="92"/>
      <c r="D59" s="92"/>
      <c r="E59" s="92"/>
      <c r="F59" s="92"/>
      <c r="G59" s="92"/>
      <c r="H59" s="92"/>
      <c r="I59" s="92"/>
    </row>
    <row r="60" spans="1:9">
      <c r="A60" s="94" t="s">
        <v>186</v>
      </c>
      <c r="B60" s="92"/>
      <c r="C60" s="92"/>
      <c r="D60" s="92"/>
      <c r="E60" s="92"/>
      <c r="F60" s="92"/>
      <c r="G60" s="92"/>
      <c r="H60" s="92"/>
      <c r="I60" s="92"/>
    </row>
    <row r="61" spans="1:9">
      <c r="A61" s="94" t="str">
        <f t="shared" ref="A61:A92" si="0">A8</f>
        <v>Kharif Crops</v>
      </c>
      <c r="B61" s="92"/>
      <c r="C61" s="92"/>
      <c r="D61" s="92"/>
      <c r="E61" s="92"/>
      <c r="F61" s="92"/>
      <c r="G61" s="92"/>
      <c r="H61" s="92"/>
      <c r="I61" s="92"/>
    </row>
    <row r="62" spans="1:9">
      <c r="A62" s="92" t="str">
        <f t="shared" si="0"/>
        <v>Soybean</v>
      </c>
      <c r="B62" s="217">
        <v>40</v>
      </c>
      <c r="C62" s="199">
        <f t="shared" ref="C62:I62" si="1">$B62*C9</f>
        <v>0</v>
      </c>
      <c r="D62" s="199">
        <f t="shared" si="1"/>
        <v>0</v>
      </c>
      <c r="E62" s="199">
        <f t="shared" si="1"/>
        <v>0</v>
      </c>
      <c r="F62" s="199">
        <f t="shared" si="1"/>
        <v>0</v>
      </c>
      <c r="G62" s="199">
        <f t="shared" si="1"/>
        <v>0</v>
      </c>
      <c r="H62" s="199">
        <f t="shared" si="1"/>
        <v>0</v>
      </c>
      <c r="I62" s="199">
        <f t="shared" si="1"/>
        <v>0</v>
      </c>
    </row>
    <row r="63" spans="1:9">
      <c r="A63" s="92" t="str">
        <f t="shared" si="0"/>
        <v>Red Gram/Tur</v>
      </c>
      <c r="B63" s="217">
        <v>5</v>
      </c>
      <c r="C63" s="199">
        <f>$B63*C10</f>
        <v>0</v>
      </c>
      <c r="D63" s="199">
        <f t="shared" ref="D63:I63" si="2">$B$63*D10</f>
        <v>0</v>
      </c>
      <c r="E63" s="199">
        <f t="shared" si="2"/>
        <v>0</v>
      </c>
      <c r="F63" s="199">
        <f t="shared" si="2"/>
        <v>0</v>
      </c>
      <c r="G63" s="199">
        <f t="shared" si="2"/>
        <v>0</v>
      </c>
      <c r="H63" s="199">
        <f t="shared" si="2"/>
        <v>0</v>
      </c>
      <c r="I63" s="199">
        <f t="shared" si="2"/>
        <v>0</v>
      </c>
    </row>
    <row r="64" spans="1:9">
      <c r="A64" s="92" t="str">
        <f t="shared" si="0"/>
        <v>Paddy/Rice</v>
      </c>
      <c r="B64" s="217">
        <v>15</v>
      </c>
      <c r="C64" s="199">
        <f>$B64*C11</f>
        <v>0</v>
      </c>
      <c r="D64" s="199">
        <f t="shared" ref="D64:I64" si="3">$B$64*D11</f>
        <v>0</v>
      </c>
      <c r="E64" s="199">
        <f t="shared" si="3"/>
        <v>0</v>
      </c>
      <c r="F64" s="199">
        <f t="shared" si="3"/>
        <v>0</v>
      </c>
      <c r="G64" s="199">
        <f t="shared" si="3"/>
        <v>0</v>
      </c>
      <c r="H64" s="199">
        <f t="shared" si="3"/>
        <v>0</v>
      </c>
      <c r="I64" s="199">
        <f t="shared" si="3"/>
        <v>0</v>
      </c>
    </row>
    <row r="65" spans="1:9">
      <c r="A65" s="92" t="str">
        <f t="shared" si="0"/>
        <v>Green Gram/ Moong</v>
      </c>
      <c r="B65" s="217">
        <v>15</v>
      </c>
      <c r="C65" s="199">
        <f>$B65*C12</f>
        <v>0</v>
      </c>
      <c r="D65" s="199">
        <f t="shared" ref="D65:I67" si="4">$B65*D12</f>
        <v>0</v>
      </c>
      <c r="E65" s="199">
        <f t="shared" si="4"/>
        <v>0</v>
      </c>
      <c r="F65" s="199">
        <f t="shared" si="4"/>
        <v>0</v>
      </c>
      <c r="G65" s="199">
        <f t="shared" si="4"/>
        <v>0</v>
      </c>
      <c r="H65" s="199">
        <f t="shared" si="4"/>
        <v>0</v>
      </c>
      <c r="I65" s="199">
        <f t="shared" si="4"/>
        <v>0</v>
      </c>
    </row>
    <row r="66" spans="1:9">
      <c r="A66" s="92" t="str">
        <f t="shared" si="0"/>
        <v>Maize</v>
      </c>
      <c r="B66" s="217">
        <v>25</v>
      </c>
      <c r="C66" s="199">
        <f>$B66*C13</f>
        <v>0</v>
      </c>
      <c r="D66" s="199">
        <f t="shared" si="4"/>
        <v>0</v>
      </c>
      <c r="E66" s="199">
        <f t="shared" si="4"/>
        <v>0</v>
      </c>
      <c r="F66" s="199">
        <f t="shared" si="4"/>
        <v>0</v>
      </c>
      <c r="G66" s="199">
        <f t="shared" si="4"/>
        <v>0</v>
      </c>
      <c r="H66" s="199">
        <f t="shared" si="4"/>
        <v>0</v>
      </c>
      <c r="I66" s="199">
        <f t="shared" si="4"/>
        <v>0</v>
      </c>
    </row>
    <row r="67" spans="1:9">
      <c r="A67" s="92" t="str">
        <f t="shared" si="0"/>
        <v>Black Gram/Udid</v>
      </c>
      <c r="B67" s="217">
        <v>15</v>
      </c>
      <c r="C67" s="199">
        <f>$B67*C14</f>
        <v>0</v>
      </c>
      <c r="D67" s="199">
        <f t="shared" si="4"/>
        <v>0</v>
      </c>
      <c r="E67" s="199">
        <f t="shared" si="4"/>
        <v>0</v>
      </c>
      <c r="F67" s="199">
        <f t="shared" si="4"/>
        <v>0</v>
      </c>
      <c r="G67" s="199">
        <f t="shared" si="4"/>
        <v>0</v>
      </c>
      <c r="H67" s="199">
        <f t="shared" si="4"/>
        <v>0</v>
      </c>
      <c r="I67" s="199">
        <f t="shared" si="4"/>
        <v>0</v>
      </c>
    </row>
    <row r="68" spans="1:9">
      <c r="A68" s="92" t="str">
        <f t="shared" si="0"/>
        <v>Bajra</v>
      </c>
      <c r="B68" s="217">
        <v>5</v>
      </c>
      <c r="C68" s="199">
        <f t="shared" ref="C68:I68" si="5">$B68*C15</f>
        <v>0</v>
      </c>
      <c r="D68" s="199">
        <f t="shared" si="5"/>
        <v>0</v>
      </c>
      <c r="E68" s="199">
        <f t="shared" si="5"/>
        <v>0</v>
      </c>
      <c r="F68" s="199">
        <f t="shared" si="5"/>
        <v>0</v>
      </c>
      <c r="G68" s="199">
        <f t="shared" si="5"/>
        <v>0</v>
      </c>
      <c r="H68" s="199">
        <f t="shared" si="5"/>
        <v>0</v>
      </c>
      <c r="I68" s="199">
        <f t="shared" si="5"/>
        <v>0</v>
      </c>
    </row>
    <row r="69" spans="1:9">
      <c r="A69" s="92" t="str">
        <f t="shared" si="0"/>
        <v>Bengal Gram/Channa</v>
      </c>
      <c r="B69" s="217">
        <v>5</v>
      </c>
      <c r="C69" s="199">
        <f t="shared" ref="C69:I69" si="6">$B69*C16</f>
        <v>0</v>
      </c>
      <c r="D69" s="199">
        <f t="shared" si="6"/>
        <v>0</v>
      </c>
      <c r="E69" s="199">
        <f t="shared" si="6"/>
        <v>0</v>
      </c>
      <c r="F69" s="199">
        <f t="shared" si="6"/>
        <v>0</v>
      </c>
      <c r="G69" s="199">
        <f t="shared" si="6"/>
        <v>0</v>
      </c>
      <c r="H69" s="199">
        <f t="shared" si="6"/>
        <v>0</v>
      </c>
      <c r="I69" s="199">
        <f t="shared" si="6"/>
        <v>0</v>
      </c>
    </row>
    <row r="70" spans="1:9">
      <c r="A70" s="94" t="str">
        <f t="shared" si="0"/>
        <v>Rabi Crop</v>
      </c>
      <c r="B70" s="217"/>
      <c r="C70" s="199"/>
      <c r="D70" s="199"/>
      <c r="E70" s="199"/>
      <c r="F70" s="199"/>
      <c r="G70" s="199"/>
      <c r="H70" s="199"/>
      <c r="I70" s="199"/>
    </row>
    <row r="71" spans="1:9">
      <c r="A71" s="92" t="str">
        <f t="shared" si="0"/>
        <v>Wheat</v>
      </c>
      <c r="B71" s="217">
        <v>20</v>
      </c>
      <c r="C71" s="199">
        <f t="shared" ref="C71:I71" si="7">$B71*C18</f>
        <v>0</v>
      </c>
      <c r="D71" s="199">
        <f t="shared" si="7"/>
        <v>0</v>
      </c>
      <c r="E71" s="199">
        <f t="shared" si="7"/>
        <v>0</v>
      </c>
      <c r="F71" s="199">
        <f t="shared" si="7"/>
        <v>0</v>
      </c>
      <c r="G71" s="199">
        <f t="shared" si="7"/>
        <v>0</v>
      </c>
      <c r="H71" s="199">
        <f t="shared" si="7"/>
        <v>0</v>
      </c>
      <c r="I71" s="199">
        <f t="shared" si="7"/>
        <v>0</v>
      </c>
    </row>
    <row r="72" spans="1:9">
      <c r="A72" s="92" t="str">
        <f t="shared" si="0"/>
        <v>Bengal Gram/Channa</v>
      </c>
      <c r="B72" s="217">
        <v>25</v>
      </c>
      <c r="C72" s="199">
        <f t="shared" ref="C72:I72" si="8">$B72*C19</f>
        <v>0</v>
      </c>
      <c r="D72" s="199">
        <f t="shared" si="8"/>
        <v>0</v>
      </c>
      <c r="E72" s="199">
        <f t="shared" si="8"/>
        <v>0</v>
      </c>
      <c r="F72" s="199">
        <f t="shared" si="8"/>
        <v>0</v>
      </c>
      <c r="G72" s="199">
        <f t="shared" si="8"/>
        <v>0</v>
      </c>
      <c r="H72" s="199">
        <f t="shared" si="8"/>
        <v>0</v>
      </c>
      <c r="I72" s="199">
        <f t="shared" si="8"/>
        <v>0</v>
      </c>
    </row>
    <row r="73" spans="1:9">
      <c r="A73" s="92" t="str">
        <f t="shared" si="0"/>
        <v>Jawar</v>
      </c>
      <c r="B73" s="217">
        <v>5</v>
      </c>
      <c r="C73" s="199">
        <f t="shared" ref="C73:I73" si="9">$B73*C20</f>
        <v>0</v>
      </c>
      <c r="D73" s="199">
        <f t="shared" si="9"/>
        <v>0</v>
      </c>
      <c r="E73" s="199">
        <f t="shared" si="9"/>
        <v>0</v>
      </c>
      <c r="F73" s="199">
        <f t="shared" si="9"/>
        <v>0</v>
      </c>
      <c r="G73" s="199">
        <f t="shared" si="9"/>
        <v>0</v>
      </c>
      <c r="H73" s="199">
        <f t="shared" si="9"/>
        <v>0</v>
      </c>
      <c r="I73" s="199">
        <f t="shared" si="9"/>
        <v>0</v>
      </c>
    </row>
    <row r="74" spans="1:9">
      <c r="A74" s="92" t="str">
        <f t="shared" si="0"/>
        <v>Maize</v>
      </c>
      <c r="B74" s="217">
        <v>20</v>
      </c>
      <c r="C74" s="199">
        <f t="shared" ref="C74:I74" si="10">$B74*C21</f>
        <v>0</v>
      </c>
      <c r="D74" s="199">
        <f t="shared" si="10"/>
        <v>0</v>
      </c>
      <c r="E74" s="199">
        <f t="shared" si="10"/>
        <v>0</v>
      </c>
      <c r="F74" s="199">
        <f t="shared" si="10"/>
        <v>0</v>
      </c>
      <c r="G74" s="199">
        <f t="shared" si="10"/>
        <v>0</v>
      </c>
      <c r="H74" s="199">
        <f t="shared" si="10"/>
        <v>0</v>
      </c>
      <c r="I74" s="199">
        <f t="shared" si="10"/>
        <v>0</v>
      </c>
    </row>
    <row r="75" spans="1:9">
      <c r="A75" s="92" t="str">
        <f t="shared" si="0"/>
        <v>Safflower</v>
      </c>
      <c r="B75" s="217"/>
      <c r="C75" s="199">
        <f t="shared" ref="C75:I75" si="11">$B75*C22</f>
        <v>0</v>
      </c>
      <c r="D75" s="199">
        <f t="shared" si="11"/>
        <v>0</v>
      </c>
      <c r="E75" s="199">
        <f t="shared" si="11"/>
        <v>0</v>
      </c>
      <c r="F75" s="199">
        <f t="shared" si="11"/>
        <v>0</v>
      </c>
      <c r="G75" s="199">
        <f t="shared" si="11"/>
        <v>0</v>
      </c>
      <c r="H75" s="199">
        <f t="shared" si="11"/>
        <v>0</v>
      </c>
      <c r="I75" s="199">
        <f t="shared" si="11"/>
        <v>0</v>
      </c>
    </row>
    <row r="76" spans="1:9">
      <c r="A76" s="92">
        <f t="shared" si="0"/>
        <v>0</v>
      </c>
      <c r="B76" s="217"/>
      <c r="C76" s="199">
        <f t="shared" ref="C76:I76" si="12">$B76*C23</f>
        <v>0</v>
      </c>
      <c r="D76" s="199">
        <f t="shared" si="12"/>
        <v>0</v>
      </c>
      <c r="E76" s="199">
        <f t="shared" si="12"/>
        <v>0</v>
      </c>
      <c r="F76" s="199">
        <f t="shared" si="12"/>
        <v>0</v>
      </c>
      <c r="G76" s="199">
        <f t="shared" si="12"/>
        <v>0</v>
      </c>
      <c r="H76" s="199">
        <f t="shared" si="12"/>
        <v>0</v>
      </c>
      <c r="I76" s="199">
        <f t="shared" si="12"/>
        <v>0</v>
      </c>
    </row>
    <row r="77" spans="1:9">
      <c r="A77" s="92">
        <f t="shared" si="0"/>
        <v>0</v>
      </c>
      <c r="B77" s="217"/>
      <c r="C77" s="199">
        <f t="shared" ref="C77:I77" si="13">$B77*C24</f>
        <v>0</v>
      </c>
      <c r="D77" s="199">
        <f t="shared" si="13"/>
        <v>0</v>
      </c>
      <c r="E77" s="199">
        <f t="shared" si="13"/>
        <v>0</v>
      </c>
      <c r="F77" s="199">
        <f t="shared" si="13"/>
        <v>0</v>
      </c>
      <c r="G77" s="199">
        <f t="shared" si="13"/>
        <v>0</v>
      </c>
      <c r="H77" s="199">
        <f t="shared" si="13"/>
        <v>0</v>
      </c>
      <c r="I77" s="199">
        <f t="shared" si="13"/>
        <v>0</v>
      </c>
    </row>
    <row r="78" spans="1:9">
      <c r="A78" s="92">
        <f t="shared" si="0"/>
        <v>0</v>
      </c>
      <c r="B78" s="217"/>
      <c r="C78" s="199">
        <f t="shared" ref="C78:I78" si="14">$B78*C25</f>
        <v>0</v>
      </c>
      <c r="D78" s="199">
        <f t="shared" si="14"/>
        <v>0</v>
      </c>
      <c r="E78" s="199">
        <f t="shared" si="14"/>
        <v>0</v>
      </c>
      <c r="F78" s="199">
        <f t="shared" si="14"/>
        <v>0</v>
      </c>
      <c r="G78" s="199">
        <f t="shared" si="14"/>
        <v>0</v>
      </c>
      <c r="H78" s="199">
        <f t="shared" si="14"/>
        <v>0</v>
      </c>
      <c r="I78" s="199">
        <f t="shared" si="14"/>
        <v>0</v>
      </c>
    </row>
    <row r="79" spans="1:9">
      <c r="A79" s="94" t="str">
        <f t="shared" si="0"/>
        <v>Summer</v>
      </c>
      <c r="B79" s="217"/>
      <c r="C79" s="199"/>
      <c r="D79" s="199"/>
      <c r="E79" s="199"/>
      <c r="F79" s="199"/>
      <c r="G79" s="199"/>
      <c r="H79" s="199"/>
      <c r="I79" s="199"/>
    </row>
    <row r="80" spans="1:9">
      <c r="A80" s="92" t="str">
        <f t="shared" si="0"/>
        <v>Groundnut</v>
      </c>
      <c r="B80" s="217"/>
      <c r="C80" s="199">
        <f t="shared" ref="C80:I80" si="15">$B80*C27</f>
        <v>0</v>
      </c>
      <c r="D80" s="199">
        <f t="shared" si="15"/>
        <v>0</v>
      </c>
      <c r="E80" s="199">
        <f t="shared" si="15"/>
        <v>0</v>
      </c>
      <c r="F80" s="199">
        <f t="shared" si="15"/>
        <v>0</v>
      </c>
      <c r="G80" s="199">
        <f t="shared" si="15"/>
        <v>0</v>
      </c>
      <c r="H80" s="199">
        <f t="shared" si="15"/>
        <v>0</v>
      </c>
      <c r="I80" s="199">
        <f t="shared" si="15"/>
        <v>0</v>
      </c>
    </row>
    <row r="81" spans="1:9">
      <c r="A81" s="92" t="str">
        <f t="shared" si="0"/>
        <v>Bengal Gram/Channa</v>
      </c>
      <c r="B81" s="217"/>
      <c r="C81" s="199">
        <f t="shared" ref="C81:I81" si="16">$B81*C28</f>
        <v>0</v>
      </c>
      <c r="D81" s="199">
        <f t="shared" si="16"/>
        <v>0</v>
      </c>
      <c r="E81" s="199">
        <f t="shared" si="16"/>
        <v>0</v>
      </c>
      <c r="F81" s="199">
        <f t="shared" si="16"/>
        <v>0</v>
      </c>
      <c r="G81" s="199">
        <f t="shared" si="16"/>
        <v>0</v>
      </c>
      <c r="H81" s="199">
        <f t="shared" si="16"/>
        <v>0</v>
      </c>
      <c r="I81" s="199">
        <f t="shared" si="16"/>
        <v>0</v>
      </c>
    </row>
    <row r="82" spans="1:9">
      <c r="A82" s="92">
        <f t="shared" si="0"/>
        <v>0</v>
      </c>
      <c r="B82" s="217"/>
      <c r="C82" s="199">
        <f t="shared" ref="C82:I82" si="17">$B82*C29</f>
        <v>0</v>
      </c>
      <c r="D82" s="199">
        <f t="shared" si="17"/>
        <v>0</v>
      </c>
      <c r="E82" s="199">
        <f t="shared" si="17"/>
        <v>0</v>
      </c>
      <c r="F82" s="199">
        <f t="shared" si="17"/>
        <v>0</v>
      </c>
      <c r="G82" s="199">
        <f t="shared" si="17"/>
        <v>0</v>
      </c>
      <c r="H82" s="199">
        <f t="shared" si="17"/>
        <v>0</v>
      </c>
      <c r="I82" s="199">
        <f t="shared" si="17"/>
        <v>0</v>
      </c>
    </row>
    <row r="83" spans="1:9">
      <c r="A83" s="92">
        <f t="shared" si="0"/>
        <v>0</v>
      </c>
      <c r="B83" s="217"/>
      <c r="C83" s="199">
        <f t="shared" ref="C83:I83" si="18">$B83*C30</f>
        <v>0</v>
      </c>
      <c r="D83" s="199">
        <f t="shared" si="18"/>
        <v>0</v>
      </c>
      <c r="E83" s="199">
        <f t="shared" si="18"/>
        <v>0</v>
      </c>
      <c r="F83" s="199">
        <f t="shared" si="18"/>
        <v>0</v>
      </c>
      <c r="G83" s="199">
        <f t="shared" si="18"/>
        <v>0</v>
      </c>
      <c r="H83" s="199">
        <f t="shared" si="18"/>
        <v>0</v>
      </c>
      <c r="I83" s="199">
        <f t="shared" si="18"/>
        <v>0</v>
      </c>
    </row>
    <row r="84" spans="1:9">
      <c r="A84" s="92">
        <f t="shared" si="0"/>
        <v>0</v>
      </c>
      <c r="B84" s="217"/>
      <c r="C84" s="199">
        <f t="shared" ref="C84:I84" si="19">$B84*C31</f>
        <v>0</v>
      </c>
      <c r="D84" s="199">
        <f t="shared" si="19"/>
        <v>0</v>
      </c>
      <c r="E84" s="199">
        <f t="shared" si="19"/>
        <v>0</v>
      </c>
      <c r="F84" s="199">
        <f t="shared" si="19"/>
        <v>0</v>
      </c>
      <c r="G84" s="199">
        <f t="shared" si="19"/>
        <v>0</v>
      </c>
      <c r="H84" s="199">
        <f t="shared" si="19"/>
        <v>0</v>
      </c>
      <c r="I84" s="199">
        <f t="shared" si="19"/>
        <v>0</v>
      </c>
    </row>
    <row r="85" spans="1:9">
      <c r="A85" s="94" t="str">
        <f t="shared" si="0"/>
        <v>Fruit  &amp; Vegetables Crop Production Details</v>
      </c>
      <c r="B85" s="217"/>
      <c r="C85" s="199"/>
      <c r="D85" s="199"/>
      <c r="E85" s="199"/>
      <c r="F85" s="199"/>
      <c r="G85" s="199"/>
      <c r="H85" s="199"/>
      <c r="I85" s="199"/>
    </row>
    <row r="86" spans="1:9">
      <c r="A86" s="92" t="str">
        <f t="shared" si="0"/>
        <v>Onion</v>
      </c>
      <c r="B86" s="217"/>
      <c r="C86" s="199">
        <f t="shared" ref="C86:I86" si="20">$B86*C33</f>
        <v>0</v>
      </c>
      <c r="D86" s="199">
        <f t="shared" si="20"/>
        <v>0</v>
      </c>
      <c r="E86" s="199">
        <f t="shared" si="20"/>
        <v>0</v>
      </c>
      <c r="F86" s="199">
        <f t="shared" si="20"/>
        <v>0</v>
      </c>
      <c r="G86" s="199">
        <f t="shared" si="20"/>
        <v>0</v>
      </c>
      <c r="H86" s="199">
        <f t="shared" si="20"/>
        <v>0</v>
      </c>
      <c r="I86" s="199">
        <f t="shared" si="20"/>
        <v>0</v>
      </c>
    </row>
    <row r="87" spans="1:9">
      <c r="A87" s="92" t="str">
        <f t="shared" si="0"/>
        <v>Tomato</v>
      </c>
      <c r="B87" s="217"/>
      <c r="C87" s="199">
        <f t="shared" ref="C87:I87" si="21">$B87*C34</f>
        <v>0</v>
      </c>
      <c r="D87" s="199">
        <f t="shared" si="21"/>
        <v>0</v>
      </c>
      <c r="E87" s="199">
        <f t="shared" si="21"/>
        <v>0</v>
      </c>
      <c r="F87" s="199">
        <f t="shared" si="21"/>
        <v>0</v>
      </c>
      <c r="G87" s="199">
        <f t="shared" si="21"/>
        <v>0</v>
      </c>
      <c r="H87" s="199">
        <f t="shared" si="21"/>
        <v>0</v>
      </c>
      <c r="I87" s="199">
        <f t="shared" si="21"/>
        <v>0</v>
      </c>
    </row>
    <row r="88" spans="1:9">
      <c r="A88" s="92" t="str">
        <f t="shared" si="0"/>
        <v>Okra</v>
      </c>
      <c r="B88" s="217"/>
      <c r="C88" s="199">
        <f t="shared" ref="C88:I88" si="22">$B88*C35</f>
        <v>0</v>
      </c>
      <c r="D88" s="199">
        <f t="shared" si="22"/>
        <v>0</v>
      </c>
      <c r="E88" s="199">
        <f t="shared" si="22"/>
        <v>0</v>
      </c>
      <c r="F88" s="199">
        <f t="shared" si="22"/>
        <v>0</v>
      </c>
      <c r="G88" s="199">
        <f t="shared" si="22"/>
        <v>0</v>
      </c>
      <c r="H88" s="199">
        <f t="shared" si="22"/>
        <v>0</v>
      </c>
      <c r="I88" s="199">
        <f t="shared" si="22"/>
        <v>0</v>
      </c>
    </row>
    <row r="89" spans="1:9">
      <c r="A89" s="92" t="str">
        <f t="shared" si="0"/>
        <v>Chilli</v>
      </c>
      <c r="B89" s="217"/>
      <c r="C89" s="199">
        <f t="shared" ref="C89:I89" si="23">$B89*C36</f>
        <v>0</v>
      </c>
      <c r="D89" s="199">
        <f t="shared" si="23"/>
        <v>0</v>
      </c>
      <c r="E89" s="199">
        <f t="shared" si="23"/>
        <v>0</v>
      </c>
      <c r="F89" s="199">
        <f t="shared" si="23"/>
        <v>0</v>
      </c>
      <c r="G89" s="199">
        <f t="shared" si="23"/>
        <v>0</v>
      </c>
      <c r="H89" s="199">
        <f t="shared" si="23"/>
        <v>0</v>
      </c>
      <c r="I89" s="199">
        <f t="shared" si="23"/>
        <v>0</v>
      </c>
    </row>
    <row r="90" spans="1:9">
      <c r="A90" s="92" t="str">
        <f t="shared" si="0"/>
        <v>Potato</v>
      </c>
      <c r="B90" s="217"/>
      <c r="C90" s="199">
        <f t="shared" ref="C90:I90" si="24">$B90*C37</f>
        <v>0</v>
      </c>
      <c r="D90" s="199">
        <f t="shared" si="24"/>
        <v>0</v>
      </c>
      <c r="E90" s="199">
        <f t="shared" si="24"/>
        <v>0</v>
      </c>
      <c r="F90" s="199">
        <f t="shared" si="24"/>
        <v>0</v>
      </c>
      <c r="G90" s="199">
        <f t="shared" si="24"/>
        <v>0</v>
      </c>
      <c r="H90" s="199">
        <f t="shared" si="24"/>
        <v>0</v>
      </c>
      <c r="I90" s="199">
        <f t="shared" si="24"/>
        <v>0</v>
      </c>
    </row>
    <row r="91" spans="1:9">
      <c r="A91" s="92">
        <f t="shared" si="0"/>
        <v>0</v>
      </c>
      <c r="B91" s="217"/>
      <c r="C91" s="199">
        <f t="shared" ref="C91:I91" si="25">$B91*C38</f>
        <v>0</v>
      </c>
      <c r="D91" s="199">
        <f t="shared" si="25"/>
        <v>0</v>
      </c>
      <c r="E91" s="199">
        <f t="shared" si="25"/>
        <v>0</v>
      </c>
      <c r="F91" s="199">
        <f t="shared" si="25"/>
        <v>0</v>
      </c>
      <c r="G91" s="199">
        <f t="shared" si="25"/>
        <v>0</v>
      </c>
      <c r="H91" s="199">
        <f t="shared" si="25"/>
        <v>0</v>
      </c>
      <c r="I91" s="199">
        <f t="shared" si="25"/>
        <v>0</v>
      </c>
    </row>
    <row r="92" spans="1:9">
      <c r="A92" s="92">
        <f t="shared" si="0"/>
        <v>0</v>
      </c>
      <c r="B92" s="217"/>
      <c r="C92" s="199">
        <f t="shared" ref="C92:I92" si="26">$B92*C39</f>
        <v>0</v>
      </c>
      <c r="D92" s="199">
        <f t="shared" si="26"/>
        <v>0</v>
      </c>
      <c r="E92" s="199">
        <f t="shared" si="26"/>
        <v>0</v>
      </c>
      <c r="F92" s="199">
        <f t="shared" si="26"/>
        <v>0</v>
      </c>
      <c r="G92" s="199">
        <f t="shared" si="26"/>
        <v>0</v>
      </c>
      <c r="H92" s="199">
        <f t="shared" si="26"/>
        <v>0</v>
      </c>
      <c r="I92" s="199">
        <f t="shared" si="26"/>
        <v>0</v>
      </c>
    </row>
    <row r="93" spans="1:9">
      <c r="A93" s="92">
        <f t="shared" ref="A93:A110" si="27">A40</f>
        <v>0</v>
      </c>
      <c r="B93" s="217"/>
      <c r="C93" s="199">
        <f t="shared" ref="C93:I93" si="28">$B93*C40</f>
        <v>0</v>
      </c>
      <c r="D93" s="199">
        <f t="shared" si="28"/>
        <v>0</v>
      </c>
      <c r="E93" s="199">
        <f t="shared" si="28"/>
        <v>0</v>
      </c>
      <c r="F93" s="199">
        <f t="shared" si="28"/>
        <v>0</v>
      </c>
      <c r="G93" s="199">
        <f t="shared" si="28"/>
        <v>0</v>
      </c>
      <c r="H93" s="199">
        <f t="shared" si="28"/>
        <v>0</v>
      </c>
      <c r="I93" s="199">
        <f t="shared" si="28"/>
        <v>0</v>
      </c>
    </row>
    <row r="94" spans="1:9">
      <c r="A94" s="92">
        <f t="shared" si="27"/>
        <v>0</v>
      </c>
      <c r="B94" s="217"/>
      <c r="C94" s="199">
        <f t="shared" ref="C94:I94" si="29">$B94*C41</f>
        <v>0</v>
      </c>
      <c r="D94" s="199">
        <f t="shared" si="29"/>
        <v>0</v>
      </c>
      <c r="E94" s="199">
        <f t="shared" si="29"/>
        <v>0</v>
      </c>
      <c r="F94" s="199">
        <f t="shared" si="29"/>
        <v>0</v>
      </c>
      <c r="G94" s="199">
        <f t="shared" si="29"/>
        <v>0</v>
      </c>
      <c r="H94" s="199">
        <f t="shared" si="29"/>
        <v>0</v>
      </c>
      <c r="I94" s="199">
        <f t="shared" si="29"/>
        <v>0</v>
      </c>
    </row>
    <row r="95" spans="1:9">
      <c r="A95" s="92" t="str">
        <f t="shared" si="27"/>
        <v>Onion</v>
      </c>
      <c r="B95" s="217"/>
      <c r="C95" s="199">
        <f t="shared" ref="C95:I95" si="30">$B95*C42</f>
        <v>0</v>
      </c>
      <c r="D95" s="199">
        <f t="shared" si="30"/>
        <v>0</v>
      </c>
      <c r="E95" s="199">
        <f t="shared" si="30"/>
        <v>0</v>
      </c>
      <c r="F95" s="199">
        <f t="shared" si="30"/>
        <v>0</v>
      </c>
      <c r="G95" s="199">
        <f t="shared" si="30"/>
        <v>0</v>
      </c>
      <c r="H95" s="199">
        <f t="shared" si="30"/>
        <v>0</v>
      </c>
      <c r="I95" s="199">
        <f t="shared" si="30"/>
        <v>0</v>
      </c>
    </row>
    <row r="96" spans="1:9">
      <c r="A96" s="92" t="str">
        <f t="shared" si="27"/>
        <v>Tomato</v>
      </c>
      <c r="B96" s="217"/>
      <c r="C96" s="199">
        <f t="shared" ref="C96:I96" si="31">$B96*C43</f>
        <v>0</v>
      </c>
      <c r="D96" s="199">
        <f t="shared" si="31"/>
        <v>0</v>
      </c>
      <c r="E96" s="199">
        <f t="shared" si="31"/>
        <v>0</v>
      </c>
      <c r="F96" s="199">
        <f t="shared" si="31"/>
        <v>0</v>
      </c>
      <c r="G96" s="199">
        <f t="shared" si="31"/>
        <v>0</v>
      </c>
      <c r="H96" s="199">
        <f t="shared" si="31"/>
        <v>0</v>
      </c>
      <c r="I96" s="199">
        <f t="shared" si="31"/>
        <v>0</v>
      </c>
    </row>
    <row r="97" spans="1:9">
      <c r="A97" s="92" t="str">
        <f t="shared" si="27"/>
        <v>Okra</v>
      </c>
      <c r="B97" s="217"/>
      <c r="C97" s="199">
        <f t="shared" ref="C97:I97" si="32">$B97*C44</f>
        <v>0</v>
      </c>
      <c r="D97" s="199">
        <f t="shared" si="32"/>
        <v>0</v>
      </c>
      <c r="E97" s="199">
        <f t="shared" si="32"/>
        <v>0</v>
      </c>
      <c r="F97" s="199">
        <f t="shared" si="32"/>
        <v>0</v>
      </c>
      <c r="G97" s="199">
        <f t="shared" si="32"/>
        <v>0</v>
      </c>
      <c r="H97" s="199">
        <f t="shared" si="32"/>
        <v>0</v>
      </c>
      <c r="I97" s="199">
        <f t="shared" si="32"/>
        <v>0</v>
      </c>
    </row>
    <row r="98" spans="1:9">
      <c r="A98" s="92" t="str">
        <f t="shared" si="27"/>
        <v>Chilli</v>
      </c>
      <c r="B98" s="217"/>
      <c r="C98" s="199">
        <f t="shared" ref="C98:I98" si="33">$B98*C45</f>
        <v>0</v>
      </c>
      <c r="D98" s="199">
        <f t="shared" si="33"/>
        <v>0</v>
      </c>
      <c r="E98" s="199">
        <f t="shared" si="33"/>
        <v>0</v>
      </c>
      <c r="F98" s="199">
        <f t="shared" si="33"/>
        <v>0</v>
      </c>
      <c r="G98" s="199">
        <f t="shared" si="33"/>
        <v>0</v>
      </c>
      <c r="H98" s="199">
        <f t="shared" si="33"/>
        <v>0</v>
      </c>
      <c r="I98" s="199">
        <f t="shared" si="33"/>
        <v>0</v>
      </c>
    </row>
    <row r="99" spans="1:9">
      <c r="A99" s="92" t="str">
        <f t="shared" si="27"/>
        <v>Brinjal</v>
      </c>
      <c r="B99" s="217"/>
      <c r="C99" s="199">
        <f t="shared" ref="C99:I99" si="34">$B99*C46</f>
        <v>0</v>
      </c>
      <c r="D99" s="199">
        <f t="shared" si="34"/>
        <v>0</v>
      </c>
      <c r="E99" s="199">
        <f t="shared" si="34"/>
        <v>0</v>
      </c>
      <c r="F99" s="199">
        <f t="shared" si="34"/>
        <v>0</v>
      </c>
      <c r="G99" s="199">
        <f t="shared" si="34"/>
        <v>0</v>
      </c>
      <c r="H99" s="199">
        <f t="shared" si="34"/>
        <v>0</v>
      </c>
      <c r="I99" s="199">
        <f t="shared" si="34"/>
        <v>0</v>
      </c>
    </row>
    <row r="100" spans="1:9">
      <c r="A100" s="92">
        <f t="shared" si="27"/>
        <v>0</v>
      </c>
      <c r="B100" s="217"/>
      <c r="C100" s="199">
        <f t="shared" ref="C100:I100" si="35">$B100*C47</f>
        <v>0</v>
      </c>
      <c r="D100" s="199">
        <f t="shared" si="35"/>
        <v>0</v>
      </c>
      <c r="E100" s="199">
        <f t="shared" si="35"/>
        <v>0</v>
      </c>
      <c r="F100" s="199">
        <f t="shared" si="35"/>
        <v>0</v>
      </c>
      <c r="G100" s="199">
        <f t="shared" si="35"/>
        <v>0</v>
      </c>
      <c r="H100" s="199">
        <f t="shared" si="35"/>
        <v>0</v>
      </c>
      <c r="I100" s="199">
        <f t="shared" si="35"/>
        <v>0</v>
      </c>
    </row>
    <row r="101" spans="1:9">
      <c r="A101" s="92">
        <f t="shared" si="27"/>
        <v>0</v>
      </c>
      <c r="B101" s="217"/>
      <c r="C101" s="199">
        <f t="shared" ref="C101:I101" si="36">$B101*C48</f>
        <v>0</v>
      </c>
      <c r="D101" s="199">
        <f t="shared" si="36"/>
        <v>0</v>
      </c>
      <c r="E101" s="199">
        <f t="shared" si="36"/>
        <v>0</v>
      </c>
      <c r="F101" s="199">
        <f t="shared" si="36"/>
        <v>0</v>
      </c>
      <c r="G101" s="199">
        <f t="shared" si="36"/>
        <v>0</v>
      </c>
      <c r="H101" s="199">
        <f t="shared" si="36"/>
        <v>0</v>
      </c>
      <c r="I101" s="199">
        <f t="shared" si="36"/>
        <v>0</v>
      </c>
    </row>
    <row r="102" spans="1:9">
      <c r="A102" s="92">
        <f t="shared" si="27"/>
        <v>0</v>
      </c>
      <c r="B102" s="217"/>
      <c r="C102" s="199">
        <f t="shared" ref="C102:I102" si="37">$B102*C49</f>
        <v>0</v>
      </c>
      <c r="D102" s="199">
        <f t="shared" si="37"/>
        <v>0</v>
      </c>
      <c r="E102" s="199">
        <f t="shared" si="37"/>
        <v>0</v>
      </c>
      <c r="F102" s="199">
        <f t="shared" si="37"/>
        <v>0</v>
      </c>
      <c r="G102" s="199">
        <f t="shared" si="37"/>
        <v>0</v>
      </c>
      <c r="H102" s="199">
        <f t="shared" si="37"/>
        <v>0</v>
      </c>
      <c r="I102" s="199">
        <f t="shared" si="37"/>
        <v>0</v>
      </c>
    </row>
    <row r="103" spans="1:9">
      <c r="A103" s="92">
        <f t="shared" si="27"/>
        <v>0</v>
      </c>
      <c r="B103" s="217"/>
      <c r="C103" s="199">
        <f t="shared" ref="C103:I103" si="38">$B103*C50</f>
        <v>0</v>
      </c>
      <c r="D103" s="199">
        <f t="shared" si="38"/>
        <v>0</v>
      </c>
      <c r="E103" s="199">
        <f t="shared" si="38"/>
        <v>0</v>
      </c>
      <c r="F103" s="199">
        <f t="shared" si="38"/>
        <v>0</v>
      </c>
      <c r="G103" s="199">
        <f t="shared" si="38"/>
        <v>0</v>
      </c>
      <c r="H103" s="199">
        <f t="shared" si="38"/>
        <v>0</v>
      </c>
      <c r="I103" s="199">
        <f t="shared" si="38"/>
        <v>0</v>
      </c>
    </row>
    <row r="104" spans="1:9">
      <c r="A104" s="92">
        <f t="shared" si="27"/>
        <v>0</v>
      </c>
      <c r="B104" s="217"/>
      <c r="C104" s="199">
        <f t="shared" ref="C104:I104" si="39">$B104*C51</f>
        <v>0</v>
      </c>
      <c r="D104" s="199">
        <f t="shared" si="39"/>
        <v>0</v>
      </c>
      <c r="E104" s="199">
        <f t="shared" si="39"/>
        <v>0</v>
      </c>
      <c r="F104" s="199">
        <f t="shared" si="39"/>
        <v>0</v>
      </c>
      <c r="G104" s="199">
        <f t="shared" si="39"/>
        <v>0</v>
      </c>
      <c r="H104" s="199">
        <f t="shared" si="39"/>
        <v>0</v>
      </c>
      <c r="I104" s="199">
        <f t="shared" si="39"/>
        <v>0</v>
      </c>
    </row>
    <row r="105" spans="1:9">
      <c r="A105" s="92">
        <f t="shared" si="27"/>
        <v>0</v>
      </c>
      <c r="B105" s="217"/>
      <c r="C105" s="199">
        <f t="shared" ref="C105:I105" si="40">$B105*C52</f>
        <v>0</v>
      </c>
      <c r="D105" s="199">
        <f t="shared" si="40"/>
        <v>0</v>
      </c>
      <c r="E105" s="199">
        <f t="shared" si="40"/>
        <v>0</v>
      </c>
      <c r="F105" s="199">
        <f t="shared" si="40"/>
        <v>0</v>
      </c>
      <c r="G105" s="199">
        <f t="shared" si="40"/>
        <v>0</v>
      </c>
      <c r="H105" s="199">
        <f t="shared" si="40"/>
        <v>0</v>
      </c>
      <c r="I105" s="199">
        <f t="shared" si="40"/>
        <v>0</v>
      </c>
    </row>
    <row r="106" spans="1:9">
      <c r="A106" s="92">
        <f t="shared" si="27"/>
        <v>0</v>
      </c>
      <c r="B106" s="217"/>
      <c r="C106" s="199">
        <f t="shared" ref="C106:I106" si="41">$B106*C53</f>
        <v>0</v>
      </c>
      <c r="D106" s="199">
        <f t="shared" si="41"/>
        <v>0</v>
      </c>
      <c r="E106" s="199">
        <f t="shared" si="41"/>
        <v>0</v>
      </c>
      <c r="F106" s="199">
        <f t="shared" si="41"/>
        <v>0</v>
      </c>
      <c r="G106" s="199">
        <f t="shared" si="41"/>
        <v>0</v>
      </c>
      <c r="H106" s="199">
        <f t="shared" si="41"/>
        <v>0</v>
      </c>
      <c r="I106" s="199">
        <f t="shared" si="41"/>
        <v>0</v>
      </c>
    </row>
    <row r="107" spans="1:9">
      <c r="A107" s="92" t="str">
        <f t="shared" si="27"/>
        <v>Pomegranate</v>
      </c>
      <c r="B107" s="217"/>
      <c r="C107" s="199">
        <f t="shared" ref="C107:I107" si="42">$B107*C54</f>
        <v>0</v>
      </c>
      <c r="D107" s="199">
        <f t="shared" si="42"/>
        <v>0</v>
      </c>
      <c r="E107" s="199">
        <f t="shared" si="42"/>
        <v>0</v>
      </c>
      <c r="F107" s="199">
        <f t="shared" si="42"/>
        <v>0</v>
      </c>
      <c r="G107" s="199">
        <f t="shared" si="42"/>
        <v>0</v>
      </c>
      <c r="H107" s="199">
        <f t="shared" si="42"/>
        <v>0</v>
      </c>
      <c r="I107" s="199">
        <f t="shared" si="42"/>
        <v>0</v>
      </c>
    </row>
    <row r="108" spans="1:9">
      <c r="A108" s="92" t="str">
        <f t="shared" si="27"/>
        <v>Custard Apple</v>
      </c>
      <c r="B108" s="217"/>
      <c r="C108" s="199">
        <f t="shared" ref="C108:I108" si="43">$B108*C55</f>
        <v>0</v>
      </c>
      <c r="D108" s="199">
        <f t="shared" si="43"/>
        <v>0</v>
      </c>
      <c r="E108" s="199">
        <f t="shared" si="43"/>
        <v>0</v>
      </c>
      <c r="F108" s="199">
        <f t="shared" si="43"/>
        <v>0</v>
      </c>
      <c r="G108" s="199">
        <f t="shared" si="43"/>
        <v>0</v>
      </c>
      <c r="H108" s="199">
        <f t="shared" si="43"/>
        <v>0</v>
      </c>
      <c r="I108" s="199">
        <f t="shared" si="43"/>
        <v>0</v>
      </c>
    </row>
    <row r="109" spans="1:9">
      <c r="A109" s="92" t="str">
        <f t="shared" si="27"/>
        <v>Guava</v>
      </c>
      <c r="B109" s="217"/>
      <c r="C109" s="199">
        <f t="shared" ref="C109:I109" si="44">$B109*C56</f>
        <v>0</v>
      </c>
      <c r="D109" s="199">
        <f t="shared" si="44"/>
        <v>0</v>
      </c>
      <c r="E109" s="199">
        <f t="shared" si="44"/>
        <v>0</v>
      </c>
      <c r="F109" s="199">
        <f t="shared" si="44"/>
        <v>0</v>
      </c>
      <c r="G109" s="199">
        <f t="shared" si="44"/>
        <v>0</v>
      </c>
      <c r="H109" s="199">
        <f t="shared" si="44"/>
        <v>0</v>
      </c>
      <c r="I109" s="199">
        <f t="shared" si="44"/>
        <v>0</v>
      </c>
    </row>
    <row r="110" spans="1:9">
      <c r="A110" s="92" t="str">
        <f t="shared" si="27"/>
        <v>Citrus</v>
      </c>
      <c r="B110" s="217"/>
      <c r="C110" s="199">
        <f t="shared" ref="C110:I110" si="45">$B110*C57</f>
        <v>0</v>
      </c>
      <c r="D110" s="199">
        <f t="shared" si="45"/>
        <v>0</v>
      </c>
      <c r="E110" s="199">
        <f t="shared" si="45"/>
        <v>0</v>
      </c>
      <c r="F110" s="199">
        <f t="shared" si="45"/>
        <v>0</v>
      </c>
      <c r="G110" s="199">
        <f t="shared" si="45"/>
        <v>0</v>
      </c>
      <c r="H110" s="199">
        <f t="shared" si="45"/>
        <v>0</v>
      </c>
      <c r="I110" s="199">
        <f t="shared" si="45"/>
        <v>0</v>
      </c>
    </row>
    <row r="111" spans="1:9">
      <c r="A111" s="92"/>
      <c r="B111" s="217"/>
      <c r="C111" s="199"/>
      <c r="D111" s="199"/>
      <c r="E111" s="199"/>
      <c r="F111" s="199"/>
      <c r="G111" s="199"/>
      <c r="H111" s="199"/>
      <c r="I111" s="199"/>
    </row>
    <row r="112" spans="1:9">
      <c r="A112" s="92"/>
      <c r="B112" s="217"/>
      <c r="C112" s="199"/>
      <c r="D112" s="199"/>
      <c r="E112" s="199"/>
      <c r="F112" s="199"/>
      <c r="G112" s="199"/>
      <c r="H112" s="199"/>
      <c r="I112" s="199"/>
    </row>
    <row r="113" spans="1:23">
      <c r="A113" s="94" t="s">
        <v>187</v>
      </c>
      <c r="B113" s="92"/>
      <c r="C113" s="92"/>
      <c r="D113" s="92"/>
      <c r="E113" s="92"/>
      <c r="F113" s="92"/>
      <c r="G113" s="92"/>
      <c r="H113" s="92"/>
      <c r="I113" s="92"/>
    </row>
    <row r="114" spans="1:23">
      <c r="A114" s="92" t="s">
        <v>418</v>
      </c>
      <c r="B114" s="217">
        <v>100</v>
      </c>
      <c r="C114" s="199">
        <f>SUM(C62:C110)*$B$114</f>
        <v>0</v>
      </c>
      <c r="D114" s="199">
        <f t="shared" ref="D114:I114" si="46">SUM(D62:D110)*$B$114</f>
        <v>0</v>
      </c>
      <c r="E114" s="199">
        <f t="shared" si="46"/>
        <v>0</v>
      </c>
      <c r="F114" s="199">
        <f t="shared" si="46"/>
        <v>0</v>
      </c>
      <c r="G114" s="199">
        <f t="shared" si="46"/>
        <v>0</v>
      </c>
      <c r="H114" s="199">
        <f t="shared" si="46"/>
        <v>0</v>
      </c>
      <c r="I114" s="199">
        <f t="shared" si="46"/>
        <v>0</v>
      </c>
    </row>
    <row r="115" spans="1:23">
      <c r="A115" s="92" t="s">
        <v>181</v>
      </c>
      <c r="B115" s="217">
        <v>30</v>
      </c>
      <c r="C115" s="199">
        <f>SUM(C62:C110)*$B$115</f>
        <v>0</v>
      </c>
      <c r="D115" s="199">
        <f t="shared" ref="D115:I115" si="47">SUM(D62:D110)*$B$115</f>
        <v>0</v>
      </c>
      <c r="E115" s="199">
        <f t="shared" si="47"/>
        <v>0</v>
      </c>
      <c r="F115" s="199">
        <f t="shared" si="47"/>
        <v>0</v>
      </c>
      <c r="G115" s="199">
        <f t="shared" si="47"/>
        <v>0</v>
      </c>
      <c r="H115" s="199">
        <f t="shared" si="47"/>
        <v>0</v>
      </c>
      <c r="I115" s="199">
        <f t="shared" si="47"/>
        <v>0</v>
      </c>
    </row>
    <row r="116" spans="1:23">
      <c r="A116" s="92" t="s">
        <v>183</v>
      </c>
      <c r="B116" s="217">
        <v>30</v>
      </c>
      <c r="C116" s="199">
        <f>SUM(C62:C110)*$B$116</f>
        <v>0</v>
      </c>
      <c r="D116" s="199">
        <f t="shared" ref="D116:I116" si="48">SUM(D62:D110)*$B$116</f>
        <v>0</v>
      </c>
      <c r="E116" s="199">
        <f t="shared" si="48"/>
        <v>0</v>
      </c>
      <c r="F116" s="199">
        <f t="shared" si="48"/>
        <v>0</v>
      </c>
      <c r="G116" s="199">
        <f t="shared" si="48"/>
        <v>0</v>
      </c>
      <c r="H116" s="199">
        <f t="shared" si="48"/>
        <v>0</v>
      </c>
      <c r="I116" s="199">
        <f t="shared" si="48"/>
        <v>0</v>
      </c>
    </row>
    <row r="117" spans="1:23">
      <c r="A117" s="94" t="s">
        <v>182</v>
      </c>
      <c r="B117" s="217"/>
      <c r="C117" s="92"/>
      <c r="D117" s="92"/>
      <c r="E117" s="92"/>
      <c r="F117" s="92"/>
      <c r="G117" s="92"/>
      <c r="H117" s="92"/>
      <c r="I117" s="92"/>
    </row>
    <row r="118" spans="1:23">
      <c r="A118" s="92" t="s">
        <v>188</v>
      </c>
      <c r="B118" s="217">
        <v>0.2</v>
      </c>
      <c r="C118" s="199">
        <f>SUM(C62:C110)*$B$118</f>
        <v>0</v>
      </c>
      <c r="D118" s="199">
        <f t="shared" ref="D118:I118" si="49">SUM(D62:D110)*$B$118</f>
        <v>0</v>
      </c>
      <c r="E118" s="199">
        <f t="shared" si="49"/>
        <v>0</v>
      </c>
      <c r="F118" s="199">
        <f t="shared" si="49"/>
        <v>0</v>
      </c>
      <c r="G118" s="199">
        <f t="shared" si="49"/>
        <v>0</v>
      </c>
      <c r="H118" s="199">
        <f t="shared" si="49"/>
        <v>0</v>
      </c>
      <c r="I118" s="199">
        <f t="shared" si="49"/>
        <v>0</v>
      </c>
    </row>
    <row r="119" spans="1:23">
      <c r="A119" s="92" t="s">
        <v>189</v>
      </c>
      <c r="B119" s="217">
        <v>0.5</v>
      </c>
      <c r="C119" s="199">
        <f>SUM(C62:C110)*$B$119</f>
        <v>0</v>
      </c>
      <c r="D119" s="199">
        <f t="shared" ref="D119:I119" si="50">SUM(D62:D110)*$B$119</f>
        <v>0</v>
      </c>
      <c r="E119" s="199">
        <f t="shared" si="50"/>
        <v>0</v>
      </c>
      <c r="F119" s="199">
        <f t="shared" si="50"/>
        <v>0</v>
      </c>
      <c r="G119" s="199">
        <f t="shared" si="50"/>
        <v>0</v>
      </c>
      <c r="H119" s="199">
        <f t="shared" si="50"/>
        <v>0</v>
      </c>
      <c r="I119" s="199">
        <f t="shared" si="50"/>
        <v>0</v>
      </c>
    </row>
    <row r="122" spans="1:23" ht="17.5">
      <c r="A122" s="416" t="s">
        <v>615</v>
      </c>
      <c r="B122" s="416"/>
      <c r="C122" s="416"/>
      <c r="D122" s="416"/>
      <c r="E122" s="416"/>
      <c r="F122" s="416"/>
      <c r="G122" s="416"/>
      <c r="H122" s="416"/>
      <c r="I122" s="416"/>
      <c r="J122" s="416"/>
    </row>
    <row r="123" spans="1:23">
      <c r="A123" s="26"/>
      <c r="B123" s="55"/>
      <c r="C123" s="26"/>
      <c r="D123" s="26"/>
      <c r="E123" s="26"/>
      <c r="F123" s="26"/>
      <c r="G123" s="26"/>
      <c r="H123" s="26"/>
    </row>
    <row r="124" spans="1:23">
      <c r="A124" s="185"/>
      <c r="B124" s="185"/>
      <c r="C124" s="185"/>
      <c r="D124" s="186">
        <v>1</v>
      </c>
      <c r="E124" s="187">
        <f t="shared" ref="E124:J124" si="51">(D124*5%)+D124</f>
        <v>1.05</v>
      </c>
      <c r="F124" s="187">
        <f t="shared" si="51"/>
        <v>1.1025</v>
      </c>
      <c r="G124" s="187">
        <f t="shared" si="51"/>
        <v>1.1576250000000001</v>
      </c>
      <c r="H124" s="187">
        <f t="shared" si="51"/>
        <v>1.2155062500000002</v>
      </c>
      <c r="I124" s="187">
        <f t="shared" si="51"/>
        <v>1.2762815625000004</v>
      </c>
      <c r="J124" s="187">
        <f t="shared" si="51"/>
        <v>1.3400956406250004</v>
      </c>
      <c r="K124" s="87"/>
      <c r="U124" s="87"/>
      <c r="V124" s="87"/>
      <c r="W124" s="87"/>
    </row>
    <row r="125" spans="1:23">
      <c r="A125" s="87"/>
      <c r="B125" s="87"/>
      <c r="C125" s="87"/>
      <c r="D125" s="87"/>
      <c r="E125" s="87"/>
      <c r="F125" s="87"/>
      <c r="G125" s="87"/>
      <c r="H125" s="87"/>
      <c r="I125" s="87"/>
      <c r="J125" s="87"/>
      <c r="K125" s="87"/>
      <c r="U125" s="87"/>
      <c r="V125" s="87"/>
      <c r="W125" s="87"/>
    </row>
    <row r="126" spans="1:23">
      <c r="A126" s="141" t="s">
        <v>0</v>
      </c>
      <c r="B126" s="141" t="s">
        <v>133</v>
      </c>
      <c r="C126" s="141" t="s">
        <v>154</v>
      </c>
      <c r="D126" s="113" t="s">
        <v>2</v>
      </c>
      <c r="E126" s="113" t="s">
        <v>3</v>
      </c>
      <c r="F126" s="113" t="s">
        <v>4</v>
      </c>
      <c r="G126" s="113" t="s">
        <v>5</v>
      </c>
      <c r="H126" s="113" t="s">
        <v>6</v>
      </c>
      <c r="I126" s="113" t="s">
        <v>171</v>
      </c>
      <c r="J126" s="113" t="s">
        <v>170</v>
      </c>
      <c r="K126" s="87"/>
      <c r="U126" s="87"/>
      <c r="V126" s="87"/>
      <c r="W126" s="87"/>
    </row>
    <row r="127" spans="1:23">
      <c r="A127" s="90" t="s">
        <v>127</v>
      </c>
      <c r="B127" s="88"/>
      <c r="C127" s="88"/>
      <c r="D127" s="88"/>
      <c r="E127" s="88"/>
      <c r="F127" s="88"/>
      <c r="G127" s="88"/>
      <c r="H127" s="88"/>
      <c r="I127" s="88"/>
      <c r="J127" s="88"/>
      <c r="K127" s="87"/>
      <c r="U127" s="87"/>
      <c r="V127" s="87"/>
      <c r="W127" s="87"/>
    </row>
    <row r="128" spans="1:23">
      <c r="A128" s="88" t="s">
        <v>290</v>
      </c>
      <c r="B128" s="88"/>
      <c r="C128" s="88"/>
      <c r="D128" s="88"/>
      <c r="E128" s="88"/>
      <c r="F128" s="88"/>
      <c r="G128" s="88"/>
      <c r="H128" s="88"/>
      <c r="I128" s="88"/>
      <c r="J128" s="88"/>
      <c r="K128" s="87"/>
      <c r="U128" s="87"/>
      <c r="V128" s="87"/>
      <c r="W128" s="87"/>
    </row>
    <row r="129" spans="1:23">
      <c r="A129" s="90" t="str">
        <f t="shared" ref="A129:A160" si="52">A8</f>
        <v>Kharif Crops</v>
      </c>
      <c r="B129" s="88"/>
      <c r="C129" s="88"/>
      <c r="D129" s="88"/>
      <c r="E129" s="88"/>
      <c r="F129" s="88"/>
      <c r="G129" s="88"/>
      <c r="H129" s="88"/>
      <c r="I129" s="88"/>
      <c r="J129" s="88"/>
      <c r="K129" s="87"/>
      <c r="U129" s="87"/>
      <c r="V129" s="87"/>
      <c r="W129" s="87"/>
    </row>
    <row r="130" spans="1:23">
      <c r="A130" s="88" t="str">
        <f t="shared" si="52"/>
        <v>Soybean</v>
      </c>
      <c r="B130" s="88"/>
      <c r="C130" s="217">
        <v>90</v>
      </c>
      <c r="D130" s="89">
        <f>(C62*(1-'5.Closing Stock &amp; W Capital'!$D$15))*$C$130*D$124</f>
        <v>0</v>
      </c>
      <c r="E130" s="89">
        <f>(D62*(1-'5.Closing Stock &amp; W Capital'!$D$15))*$C$130*E$124</f>
        <v>0</v>
      </c>
      <c r="F130" s="89">
        <f>(E62*(1-'5.Closing Stock &amp; W Capital'!$D$15))*$C$130*F$124</f>
        <v>0</v>
      </c>
      <c r="G130" s="89">
        <f>(F62*(1-'5.Closing Stock &amp; W Capital'!$D$15))*$C$130*G$124</f>
        <v>0</v>
      </c>
      <c r="H130" s="89">
        <f>(G62*(1-'5.Closing Stock &amp; W Capital'!$D$15))*$C$130*H$124</f>
        <v>0</v>
      </c>
      <c r="I130" s="89">
        <f>(H62*(1-'5.Closing Stock &amp; W Capital'!$D$15))*$C$130*I$124</f>
        <v>0</v>
      </c>
      <c r="J130" s="89">
        <f>(I62*(1-'5.Closing Stock &amp; W Capital'!$D$15))*$C$130*J$124</f>
        <v>0</v>
      </c>
      <c r="K130" s="87"/>
      <c r="U130" s="87"/>
      <c r="V130" s="87"/>
      <c r="W130" s="87"/>
    </row>
    <row r="131" spans="1:23">
      <c r="A131" s="88" t="str">
        <f t="shared" si="52"/>
        <v>Red Gram/Tur</v>
      </c>
      <c r="B131" s="88"/>
      <c r="C131" s="229">
        <v>80</v>
      </c>
      <c r="D131" s="89">
        <f>(C63*(1-'5.Closing Stock &amp; W Capital'!$D$15))*$C$131*D$124</f>
        <v>0</v>
      </c>
      <c r="E131" s="89">
        <f>((D63*(1-'5.Closing Stock &amp; W Capital'!$D$15))+(C63*'5.Closing Stock &amp; W Capital'!$D$15))*$C$131*E$124</f>
        <v>0</v>
      </c>
      <c r="F131" s="89">
        <f>((E63*(1-'5.Closing Stock &amp; W Capital'!$D$15))+(D63*'5.Closing Stock &amp; W Capital'!$D$15))*$C$131*F$124</f>
        <v>0</v>
      </c>
      <c r="G131" s="89">
        <f>((F63*(1-'5.Closing Stock &amp; W Capital'!$D$15))+(E63*'5.Closing Stock &amp; W Capital'!$D$15))*$C$131*G124</f>
        <v>0</v>
      </c>
      <c r="H131" s="89">
        <f>((G63*(1-'5.Closing Stock &amp; W Capital'!$D$15))+(F63*'5.Closing Stock &amp; W Capital'!$D$15))*$C$131*H124</f>
        <v>0</v>
      </c>
      <c r="I131" s="89">
        <f>((H63*(1-'5.Closing Stock &amp; W Capital'!$D$15))+(G63*'5.Closing Stock &amp; W Capital'!$D$15))*$C$131*I124</f>
        <v>0</v>
      </c>
      <c r="J131" s="89">
        <f>((I63*(1-'5.Closing Stock &amp; W Capital'!$D$15))+(H63*'5.Closing Stock &amp; W Capital'!$D$15))*$C$131*J124</f>
        <v>0</v>
      </c>
      <c r="K131" s="87"/>
      <c r="U131" s="172"/>
      <c r="V131" s="87"/>
      <c r="W131" s="87"/>
    </row>
    <row r="132" spans="1:23">
      <c r="A132" s="88" t="str">
        <f t="shared" si="52"/>
        <v>Paddy/Rice</v>
      </c>
      <c r="B132" s="88"/>
      <c r="C132" s="229">
        <v>65</v>
      </c>
      <c r="D132" s="89">
        <f>(C64*(1-'5.Closing Stock &amp; W Capital'!$D$15))*$C$132*D$124</f>
        <v>0</v>
      </c>
      <c r="E132" s="89">
        <f>((D64*(1-'5.Closing Stock &amp; W Capital'!$D$15))+(C64*'5.Closing Stock &amp; W Capital'!$D$15))*$C$132*E$124</f>
        <v>0</v>
      </c>
      <c r="F132" s="89">
        <f>((E64*(1-'5.Closing Stock &amp; W Capital'!$D$15))+(D64*'5.Closing Stock &amp; W Capital'!$D$15))*$C$132*F$124</f>
        <v>0</v>
      </c>
      <c r="G132" s="89">
        <f>((F64*(1-'5.Closing Stock &amp; W Capital'!$D$15))+(E64*'5.Closing Stock &amp; W Capital'!$D$15))*$C$132*G124</f>
        <v>0</v>
      </c>
      <c r="H132" s="89">
        <f>((G64*(1-'5.Closing Stock &amp; W Capital'!$D$15))+(F64*'5.Closing Stock &amp; W Capital'!$D$15))*$C$132*H124</f>
        <v>0</v>
      </c>
      <c r="I132" s="89">
        <f>((H64*(1-'5.Closing Stock &amp; W Capital'!$D$15))+(G64*'5.Closing Stock &amp; W Capital'!$D$15))*$C$132*I124</f>
        <v>0</v>
      </c>
      <c r="J132" s="89">
        <f>((I64*(1-'5.Closing Stock &amp; W Capital'!$D$15))+(H64*'5.Closing Stock &amp; W Capital'!$D$15))*$C$132*J124</f>
        <v>0</v>
      </c>
      <c r="K132" s="87"/>
      <c r="U132" s="87"/>
      <c r="V132" s="87"/>
      <c r="W132" s="87"/>
    </row>
    <row r="133" spans="1:23">
      <c r="A133" s="88" t="str">
        <f t="shared" si="52"/>
        <v>Green Gram/ Moong</v>
      </c>
      <c r="B133" s="88"/>
      <c r="C133" s="229">
        <v>85</v>
      </c>
      <c r="D133" s="89">
        <f>(C65*(1-'5.Closing Stock &amp; W Capital'!$D$15))*$C$133*D$124</f>
        <v>0</v>
      </c>
      <c r="E133" s="89">
        <f>((D65*(1-'5.Closing Stock &amp; W Capital'!$D$15))+(C65*'5.Closing Stock &amp; W Capital'!$D$15))*$C$133*E$124</f>
        <v>0</v>
      </c>
      <c r="F133" s="89">
        <f>((E65*(1-'5.Closing Stock &amp; W Capital'!$D$15))+(D65*'5.Closing Stock &amp; W Capital'!$D$15))*$C$133*F$124</f>
        <v>0</v>
      </c>
      <c r="G133" s="89">
        <f>((F65*(1-'5.Closing Stock &amp; W Capital'!$D$15))+(E65*'5.Closing Stock &amp; W Capital'!$D$15))*$C$133*G$124</f>
        <v>0</v>
      </c>
      <c r="H133" s="89">
        <f>((G65*(1-'5.Closing Stock &amp; W Capital'!$D$15))+(F65*'5.Closing Stock &amp; W Capital'!$D$15))*$C$133*H$124</f>
        <v>0</v>
      </c>
      <c r="I133" s="89">
        <f>((H65*(1-'5.Closing Stock &amp; W Capital'!$D$15))+(G65*'5.Closing Stock &amp; W Capital'!$D$15))*$C$133*I$124</f>
        <v>0</v>
      </c>
      <c r="J133" s="89">
        <f>((I65*(1-'5.Closing Stock &amp; W Capital'!$D$15))+(H65*'5.Closing Stock &amp; W Capital'!$D$15))*$C$133*J$124</f>
        <v>0</v>
      </c>
      <c r="K133" s="87"/>
      <c r="U133" s="87"/>
      <c r="V133" s="87"/>
      <c r="W133" s="87"/>
    </row>
    <row r="134" spans="1:23">
      <c r="A134" s="88" t="str">
        <f t="shared" si="52"/>
        <v>Maize</v>
      </c>
      <c r="B134" s="88"/>
      <c r="C134" s="229">
        <v>37</v>
      </c>
      <c r="D134" s="89">
        <f>(C66*(1-'5.Closing Stock &amp; W Capital'!$D$15))*$C$134*D$124</f>
        <v>0</v>
      </c>
      <c r="E134" s="89">
        <f>((D66*(1-'5.Closing Stock &amp; W Capital'!$D$15))+(C66*'5.Closing Stock &amp; W Capital'!$D$15))*$C$135*E$124</f>
        <v>0</v>
      </c>
      <c r="F134" s="89">
        <f>((E66*(1-'5.Closing Stock &amp; W Capital'!$D$15))+(D66*'5.Closing Stock &amp; W Capital'!$D$15))*$C$135*F$124</f>
        <v>0</v>
      </c>
      <c r="G134" s="89">
        <f>((F66*(1-'5.Closing Stock &amp; W Capital'!$D$15))+(E66*'5.Closing Stock &amp; W Capital'!$D$15))*$C$135*G$124</f>
        <v>0</v>
      </c>
      <c r="H134" s="89">
        <f>((G66*(1-'5.Closing Stock &amp; W Capital'!$D$15))+(F66*'5.Closing Stock &amp; W Capital'!$D$15))*$C$135*H$124</f>
        <v>0</v>
      </c>
      <c r="I134" s="89">
        <f>((H66*(1-'5.Closing Stock &amp; W Capital'!$D$15))+(G66*'5.Closing Stock &amp; W Capital'!$D$15))*$C$135*I$124</f>
        <v>0</v>
      </c>
      <c r="J134" s="89">
        <f>((I66*(1-'5.Closing Stock &amp; W Capital'!$D$15))+(H66*'5.Closing Stock &amp; W Capital'!$D$15))*$C$135*J$124</f>
        <v>0</v>
      </c>
      <c r="K134" s="87"/>
      <c r="U134" s="87"/>
      <c r="V134" s="87"/>
      <c r="W134" s="87"/>
    </row>
    <row r="135" spans="1:23">
      <c r="A135" s="88" t="str">
        <f t="shared" si="52"/>
        <v>Black Gram/Udid</v>
      </c>
      <c r="B135" s="88"/>
      <c r="C135" s="229">
        <v>75</v>
      </c>
      <c r="D135" s="89">
        <f>(C67*(1-'5.Closing Stock &amp; W Capital'!$D$15))*$C$135*D$124</f>
        <v>0</v>
      </c>
      <c r="E135" s="89">
        <f>((D67*(1-'5.Closing Stock &amp; W Capital'!$D$15))+(C67*'5.Closing Stock &amp; W Capital'!$D$15))*$C$135*E$124</f>
        <v>0</v>
      </c>
      <c r="F135" s="89">
        <f>((E67*(1-'5.Closing Stock &amp; W Capital'!$D$15))+(D67*'5.Closing Stock &amp; W Capital'!$D$15))*$C$135*F$124</f>
        <v>0</v>
      </c>
      <c r="G135" s="89">
        <f>((F67*(1-'5.Closing Stock &amp; W Capital'!$D$15))+(E67*'5.Closing Stock &amp; W Capital'!$D$15))*$C$135*G$124</f>
        <v>0</v>
      </c>
      <c r="H135" s="89">
        <f>((G67*(1-'5.Closing Stock &amp; W Capital'!$D$15))+(F67*'5.Closing Stock &amp; W Capital'!$D$15))*$C$135*H$124</f>
        <v>0</v>
      </c>
      <c r="I135" s="89">
        <f>((H67*(1-'5.Closing Stock &amp; W Capital'!$D$15))+(G67*'5.Closing Stock &amp; W Capital'!$D$15))*$C$135*I$124</f>
        <v>0</v>
      </c>
      <c r="J135" s="89">
        <f>((I67*(1-'5.Closing Stock &amp; W Capital'!$D$15))+(H67*'5.Closing Stock &amp; W Capital'!$D$15))*$C$135*J$124</f>
        <v>0</v>
      </c>
      <c r="K135" s="87"/>
      <c r="U135" s="87"/>
      <c r="V135" s="87"/>
      <c r="W135" s="87"/>
    </row>
    <row r="136" spans="1:23">
      <c r="A136" s="88" t="str">
        <f t="shared" si="52"/>
        <v>Bajra</v>
      </c>
      <c r="B136" s="88"/>
      <c r="C136" s="229">
        <v>30</v>
      </c>
      <c r="D136" s="89">
        <f>(C68*(1-'5.Closing Stock &amp; W Capital'!$D$15))*$C$136*D$124</f>
        <v>0</v>
      </c>
      <c r="E136" s="89">
        <f>((D68*(1-'5.Closing Stock &amp; W Capital'!$D$15))+(C68*'5.Closing Stock &amp; W Capital'!$D$15))*$C$136*E$124</f>
        <v>0</v>
      </c>
      <c r="F136" s="89">
        <f>((E68*(1-'5.Closing Stock &amp; W Capital'!$D$15))+(D68*'5.Closing Stock &amp; W Capital'!$D$15))*$C$136*F$124</f>
        <v>0</v>
      </c>
      <c r="G136" s="89">
        <f>((F68*(1-'5.Closing Stock &amp; W Capital'!$D$15))+(E68*'5.Closing Stock &amp; W Capital'!$D$15))*$C$136*G$124</f>
        <v>0</v>
      </c>
      <c r="H136" s="89">
        <f>((G68*(1-'5.Closing Stock &amp; W Capital'!$D$15))+(F68*'5.Closing Stock &amp; W Capital'!$D$15))*$C$136*H$124</f>
        <v>0</v>
      </c>
      <c r="I136" s="89">
        <f>((H68*(1-'5.Closing Stock &amp; W Capital'!$D$15))+(G68*'5.Closing Stock &amp; W Capital'!$D$15))*$C$136*I$124</f>
        <v>0</v>
      </c>
      <c r="J136" s="89">
        <f>((I68*(1-'5.Closing Stock &amp; W Capital'!$D$15))+(H68*'5.Closing Stock &amp; W Capital'!$D$15))*$C$136*J$124</f>
        <v>0</v>
      </c>
      <c r="K136" s="87"/>
      <c r="U136" s="87"/>
      <c r="V136" s="87"/>
      <c r="W136" s="87"/>
    </row>
    <row r="137" spans="1:23">
      <c r="A137" s="88" t="str">
        <f t="shared" si="52"/>
        <v>Bengal Gram/Channa</v>
      </c>
      <c r="B137" s="88"/>
      <c r="C137" s="229">
        <v>30</v>
      </c>
      <c r="D137" s="89">
        <f>(C69*(1-'5.Closing Stock &amp; W Capital'!$D$15))*$C$137*D$124</f>
        <v>0</v>
      </c>
      <c r="E137" s="89">
        <f>((D69*(1-'5.Closing Stock &amp; W Capital'!$D$15))+(C69*'5.Closing Stock &amp; W Capital'!$D$15))*$C$137*E$124</f>
        <v>0</v>
      </c>
      <c r="F137" s="89">
        <f>((E69*(1-'5.Closing Stock &amp; W Capital'!$D$15))+(D69*'5.Closing Stock &amp; W Capital'!$D$15))*$C$137*F$124</f>
        <v>0</v>
      </c>
      <c r="G137" s="89">
        <f>((F69*(1-'5.Closing Stock &amp; W Capital'!$D$15))+(E69*'5.Closing Stock &amp; W Capital'!$D$15))*$C$137*G$124</f>
        <v>0</v>
      </c>
      <c r="H137" s="89">
        <f>((G69*(1-'5.Closing Stock &amp; W Capital'!$D$15))+(F69*'5.Closing Stock &amp; W Capital'!$D$15))*$C$137*H$124</f>
        <v>0</v>
      </c>
      <c r="I137" s="89">
        <f>((H69*(1-'5.Closing Stock &amp; W Capital'!$D$15))+(G69*'5.Closing Stock &amp; W Capital'!$D$15))*$C$137*I$124</f>
        <v>0</v>
      </c>
      <c r="J137" s="89">
        <f>((I69*(1-'5.Closing Stock &amp; W Capital'!$D$15))+(H69*'5.Closing Stock &amp; W Capital'!$D$15))*$C$137*J$124</f>
        <v>0</v>
      </c>
      <c r="K137" s="87"/>
      <c r="U137" s="87"/>
      <c r="V137" s="87"/>
      <c r="W137" s="87"/>
    </row>
    <row r="138" spans="1:23">
      <c r="A138" s="90" t="str">
        <f t="shared" si="52"/>
        <v>Rabi Crop</v>
      </c>
      <c r="B138" s="88"/>
      <c r="C138" s="229"/>
      <c r="D138" s="89"/>
      <c r="E138" s="89"/>
      <c r="F138" s="89"/>
      <c r="G138" s="89"/>
      <c r="H138" s="89"/>
      <c r="I138" s="89"/>
      <c r="J138" s="89"/>
      <c r="K138" s="87"/>
      <c r="U138" s="87"/>
      <c r="V138" s="87"/>
      <c r="W138" s="87"/>
    </row>
    <row r="139" spans="1:23">
      <c r="A139" s="88" t="str">
        <f t="shared" si="52"/>
        <v>Wheat</v>
      </c>
      <c r="B139" s="88"/>
      <c r="C139" s="229">
        <v>40</v>
      </c>
      <c r="D139" s="89">
        <f>(C71*(1-'5.Closing Stock &amp; W Capital'!$D$15))*$C$139*D$124</f>
        <v>0</v>
      </c>
      <c r="E139" s="89">
        <f>((D71*(1-'5.Closing Stock &amp; W Capital'!$D$15))+(C71*'5.Closing Stock &amp; W Capital'!$D$15))*$C$139*E$124</f>
        <v>0</v>
      </c>
      <c r="F139" s="89">
        <f>((E71*(1-'5.Closing Stock &amp; W Capital'!$D$15))+(D71*'5.Closing Stock &amp; W Capital'!$D$15))*$C$139*F$124</f>
        <v>0</v>
      </c>
      <c r="G139" s="89">
        <f>((F71*(1-'5.Closing Stock &amp; W Capital'!$D$15))+(E71*'5.Closing Stock &amp; W Capital'!$D$15))*$C$139*G$124</f>
        <v>0</v>
      </c>
      <c r="H139" s="89">
        <f>((G71*(1-'5.Closing Stock &amp; W Capital'!$D$15))+(F71*'5.Closing Stock &amp; W Capital'!$D$15))*$C$139*H$124</f>
        <v>0</v>
      </c>
      <c r="I139" s="89">
        <f>((H71*(1-'5.Closing Stock &amp; W Capital'!$D$15))+(G71*'5.Closing Stock &amp; W Capital'!$D$15))*$C$139*I$124</f>
        <v>0</v>
      </c>
      <c r="J139" s="89">
        <f>((I71*(1-'5.Closing Stock &amp; W Capital'!$D$15))+(H71*'5.Closing Stock &amp; W Capital'!$D$15))*$C$139*J$124</f>
        <v>0</v>
      </c>
      <c r="K139" s="87"/>
      <c r="U139" s="87"/>
      <c r="V139" s="87"/>
      <c r="W139" s="87"/>
    </row>
    <row r="140" spans="1:23">
      <c r="A140" s="88" t="str">
        <f t="shared" si="52"/>
        <v>Bengal Gram/Channa</v>
      </c>
      <c r="B140" s="88"/>
      <c r="C140" s="229">
        <v>75</v>
      </c>
      <c r="D140" s="89">
        <f>(C72*(1-'5.Closing Stock &amp; W Capital'!$D$15))*$C$140*D$124</f>
        <v>0</v>
      </c>
      <c r="E140" s="89">
        <f>((D72*(1-'5.Closing Stock &amp; W Capital'!$D$15))+(C72*'5.Closing Stock &amp; W Capital'!$D$15))*$C$140*E$124</f>
        <v>0</v>
      </c>
      <c r="F140" s="89">
        <f>((E72*(1-'5.Closing Stock &amp; W Capital'!$D$15))+(D72*'5.Closing Stock &amp; W Capital'!$D$15))*$C$140*F$124</f>
        <v>0</v>
      </c>
      <c r="G140" s="89">
        <f>((F72*(1-'5.Closing Stock &amp; W Capital'!$D$15))+(E72*'5.Closing Stock &amp; W Capital'!$D$15))*$C$140*G$124</f>
        <v>0</v>
      </c>
      <c r="H140" s="89">
        <f>((G72*(1-'5.Closing Stock &amp; W Capital'!$D$15))+(F72*'5.Closing Stock &amp; W Capital'!$D$15))*$C$140*H$124</f>
        <v>0</v>
      </c>
      <c r="I140" s="89">
        <f>((H72*(1-'5.Closing Stock &amp; W Capital'!$D$15))+(G72*'5.Closing Stock &amp; W Capital'!$D$15))*$C$140*I$124</f>
        <v>0</v>
      </c>
      <c r="J140" s="89">
        <f>((I72*(1-'5.Closing Stock &amp; W Capital'!$D$15))+(H72*'5.Closing Stock &amp; W Capital'!$D$15))*$C$140*J$124</f>
        <v>0</v>
      </c>
      <c r="K140" s="87"/>
      <c r="U140" s="87"/>
      <c r="V140" s="87"/>
      <c r="W140" s="87"/>
    </row>
    <row r="141" spans="1:23">
      <c r="A141" s="88" t="str">
        <f t="shared" si="52"/>
        <v>Jawar</v>
      </c>
      <c r="B141" s="88"/>
      <c r="C141" s="229">
        <v>27</v>
      </c>
      <c r="D141" s="89">
        <f>(C73*(1-'5.Closing Stock &amp; W Capital'!$D$15))*$C$141*D$124</f>
        <v>0</v>
      </c>
      <c r="E141" s="89">
        <f>((D73*(1-'5.Closing Stock &amp; W Capital'!$D$15))+(C73*'5.Closing Stock &amp; W Capital'!$D$15))*$C$141*E$124</f>
        <v>0</v>
      </c>
      <c r="F141" s="89">
        <f>((E73*(1-'5.Closing Stock &amp; W Capital'!$D$15))+(D73*'5.Closing Stock &amp; W Capital'!$D$15))*$C$141*F$124</f>
        <v>0</v>
      </c>
      <c r="G141" s="89">
        <f>((F73*(1-'5.Closing Stock &amp; W Capital'!$D$15))+(E73*'5.Closing Stock &amp; W Capital'!$D$15))*$C$141*G$124</f>
        <v>0</v>
      </c>
      <c r="H141" s="89">
        <f>((G73*(1-'5.Closing Stock &amp; W Capital'!$D$15))+(F73*'5.Closing Stock &amp; W Capital'!$D$15))*$C$141*H$124</f>
        <v>0</v>
      </c>
      <c r="I141" s="89">
        <f>((H73*(1-'5.Closing Stock &amp; W Capital'!$D$15))+(G73*'5.Closing Stock &amp; W Capital'!$D$15))*$C$141*I$124</f>
        <v>0</v>
      </c>
      <c r="J141" s="89">
        <f>((I73*(1-'5.Closing Stock &amp; W Capital'!$D$15))+(H73*'5.Closing Stock &amp; W Capital'!$D$15))*$C$141*J$124</f>
        <v>0</v>
      </c>
      <c r="K141" s="87"/>
      <c r="U141" s="87"/>
      <c r="V141" s="87"/>
      <c r="W141" s="87"/>
    </row>
    <row r="142" spans="1:23">
      <c r="A142" s="88" t="str">
        <f t="shared" si="52"/>
        <v>Maize</v>
      </c>
      <c r="B142" s="88"/>
      <c r="C142" s="229">
        <v>27</v>
      </c>
      <c r="D142" s="89">
        <f>(C74*(1-'5.Closing Stock &amp; W Capital'!$D$15))*$C$142*D$124</f>
        <v>0</v>
      </c>
      <c r="E142" s="89">
        <f>((D74*(1-'5.Closing Stock &amp; W Capital'!$D$15))+(C74*'5.Closing Stock &amp; W Capital'!$D$15))*$C$142*E$124</f>
        <v>0</v>
      </c>
      <c r="F142" s="89">
        <f>((E74*(1-'5.Closing Stock &amp; W Capital'!$D$15))+(D74*'5.Closing Stock &amp; W Capital'!$D$15))*$C$142*F$124</f>
        <v>0</v>
      </c>
      <c r="G142" s="89">
        <f>((F74*(1-'5.Closing Stock &amp; W Capital'!$D$15))+(E74*'5.Closing Stock &amp; W Capital'!$D$15))*$C$142*G$124</f>
        <v>0</v>
      </c>
      <c r="H142" s="89">
        <f>((G74*(1-'5.Closing Stock &amp; W Capital'!$D$15))+(F74*'5.Closing Stock &amp; W Capital'!$D$15))*$C$142*H$124</f>
        <v>0</v>
      </c>
      <c r="I142" s="89">
        <f>((H74*(1-'5.Closing Stock &amp; W Capital'!$D$15))+(G74*'5.Closing Stock &amp; W Capital'!$D$15))*$C$142*I$124</f>
        <v>0</v>
      </c>
      <c r="J142" s="89">
        <f>((I74*(1-'5.Closing Stock &amp; W Capital'!$D$15))+(H74*'5.Closing Stock &amp; W Capital'!$D$15))*$C$142*J$124</f>
        <v>0</v>
      </c>
      <c r="K142" s="87"/>
      <c r="U142" s="87"/>
      <c r="V142" s="87"/>
      <c r="W142" s="87"/>
    </row>
    <row r="143" spans="1:23">
      <c r="A143" s="88" t="str">
        <f t="shared" si="52"/>
        <v>Safflower</v>
      </c>
      <c r="B143" s="88"/>
      <c r="C143" s="229"/>
      <c r="D143" s="89">
        <f>(C75*(1-'5.Closing Stock &amp; W Capital'!$D$15))*$C$143*D$124</f>
        <v>0</v>
      </c>
      <c r="E143" s="89">
        <f>((D75*(1-'5.Closing Stock &amp; W Capital'!$D$15))+(C75*'5.Closing Stock &amp; W Capital'!$D$15))*$C$143*E$124</f>
        <v>0</v>
      </c>
      <c r="F143" s="89">
        <f>((E75*(1-'5.Closing Stock &amp; W Capital'!$D$15))+(D75*'5.Closing Stock &amp; W Capital'!$D$15))*$C$143*F$124</f>
        <v>0</v>
      </c>
      <c r="G143" s="89">
        <f>((F75*(1-'5.Closing Stock &amp; W Capital'!$D$15))+(E75*'5.Closing Stock &amp; W Capital'!$D$15))*$C$143*G$124</f>
        <v>0</v>
      </c>
      <c r="H143" s="89">
        <f>((G75*(1-'5.Closing Stock &amp; W Capital'!$D$15))+(F75*'5.Closing Stock &amp; W Capital'!$D$15))*$C$143*H$124</f>
        <v>0</v>
      </c>
      <c r="I143" s="89">
        <f>((H75*(1-'5.Closing Stock &amp; W Capital'!$D$15))+(G75*'5.Closing Stock &amp; W Capital'!$D$15))*$C$143*I$124</f>
        <v>0</v>
      </c>
      <c r="J143" s="89">
        <f>((I75*(1-'5.Closing Stock &amp; W Capital'!$D$15))+(H75*'5.Closing Stock &amp; W Capital'!$D$15))*$C$143*J$124</f>
        <v>0</v>
      </c>
      <c r="K143" s="87"/>
      <c r="U143" s="87"/>
      <c r="V143" s="87"/>
      <c r="W143" s="87"/>
    </row>
    <row r="144" spans="1:23">
      <c r="A144" s="88">
        <f t="shared" si="52"/>
        <v>0</v>
      </c>
      <c r="B144" s="88"/>
      <c r="C144" s="229"/>
      <c r="D144" s="89">
        <f>(C76*(1-'5.Closing Stock &amp; W Capital'!$D$15))*$C$144*D$124</f>
        <v>0</v>
      </c>
      <c r="E144" s="89">
        <f>((D76*(1-'5.Closing Stock &amp; W Capital'!$D$15))+(C76*'5.Closing Stock &amp; W Capital'!$D$15))*$C$144*E$124</f>
        <v>0</v>
      </c>
      <c r="F144" s="89">
        <f>((E76*(1-'5.Closing Stock &amp; W Capital'!$D$15))+(D76*'5.Closing Stock &amp; W Capital'!$D$15))*$C$144*F$124</f>
        <v>0</v>
      </c>
      <c r="G144" s="89">
        <f>((F76*(1-'5.Closing Stock &amp; W Capital'!$D$15))+(E76*'5.Closing Stock &amp; W Capital'!$D$15))*$C$144*G$124</f>
        <v>0</v>
      </c>
      <c r="H144" s="89">
        <f>((G76*(1-'5.Closing Stock &amp; W Capital'!$D$15))+(F76*'5.Closing Stock &amp; W Capital'!$D$15))*$C$144*H$124</f>
        <v>0</v>
      </c>
      <c r="I144" s="89">
        <f>((H76*(1-'5.Closing Stock &amp; W Capital'!$D$15))+(G76*'5.Closing Stock &amp; W Capital'!$D$15))*$C$144*I$124</f>
        <v>0</v>
      </c>
      <c r="J144" s="89">
        <f>((I76*(1-'5.Closing Stock &amp; W Capital'!$D$15))+(H76*'5.Closing Stock &amp; W Capital'!$D$15))*$C$144*J$124</f>
        <v>0</v>
      </c>
      <c r="K144" s="87"/>
      <c r="U144" s="87"/>
      <c r="V144" s="87"/>
      <c r="W144" s="87"/>
    </row>
    <row r="145" spans="1:23">
      <c r="A145" s="88">
        <f t="shared" si="52"/>
        <v>0</v>
      </c>
      <c r="B145" s="88"/>
      <c r="C145" s="229"/>
      <c r="D145" s="89">
        <f>(C77*(1-'5.Closing Stock &amp; W Capital'!$D$15))*$C$145*D$124</f>
        <v>0</v>
      </c>
      <c r="E145" s="89">
        <f>((D77*(1-'5.Closing Stock &amp; W Capital'!$D$15))+(C77*'5.Closing Stock &amp; W Capital'!$D$15))*$C$145*E$124</f>
        <v>0</v>
      </c>
      <c r="F145" s="89">
        <f>((E77*(1-'5.Closing Stock &amp; W Capital'!$D$15))+(D77*'5.Closing Stock &amp; W Capital'!$D$15))*$C$145*F$124</f>
        <v>0</v>
      </c>
      <c r="G145" s="89">
        <f>((F77*(1-'5.Closing Stock &amp; W Capital'!$D$15))+(E77*'5.Closing Stock &amp; W Capital'!$D$15))*$C$145*G$124</f>
        <v>0</v>
      </c>
      <c r="H145" s="89">
        <f>((G77*(1-'5.Closing Stock &amp; W Capital'!$D$15))+(F77*'5.Closing Stock &amp; W Capital'!$D$15))*$C$145*H$124</f>
        <v>0</v>
      </c>
      <c r="I145" s="89">
        <f>((H77*(1-'5.Closing Stock &amp; W Capital'!$D$15))+(G77*'5.Closing Stock &amp; W Capital'!$D$15))*$C$145*I$124</f>
        <v>0</v>
      </c>
      <c r="J145" s="89">
        <f>((I77*(1-'5.Closing Stock &amp; W Capital'!$D$15))+(H77*'5.Closing Stock &amp; W Capital'!$D$15))*$C$145*J$124</f>
        <v>0</v>
      </c>
      <c r="K145" s="87"/>
      <c r="U145" s="87"/>
      <c r="V145" s="87"/>
      <c r="W145" s="87"/>
    </row>
    <row r="146" spans="1:23">
      <c r="A146" s="88">
        <f t="shared" si="52"/>
        <v>0</v>
      </c>
      <c r="B146" s="88"/>
      <c r="C146" s="229"/>
      <c r="D146" s="89">
        <f>(C78*(1-'5.Closing Stock &amp; W Capital'!$D$15))*$C$146*D$124</f>
        <v>0</v>
      </c>
      <c r="E146" s="89">
        <f>((D78*(1-'5.Closing Stock &amp; W Capital'!$D$15))+(C78*'5.Closing Stock &amp; W Capital'!$D$15))*$C$146*E$124</f>
        <v>0</v>
      </c>
      <c r="F146" s="89">
        <f>((E78*(1-'5.Closing Stock &amp; W Capital'!$D$15))+(D78*'5.Closing Stock &amp; W Capital'!$D$15))*$C$146*F$124</f>
        <v>0</v>
      </c>
      <c r="G146" s="89">
        <f>((F78*(1-'5.Closing Stock &amp; W Capital'!$D$15))+(E78*'5.Closing Stock &amp; W Capital'!$D$15))*$C$146*G$124</f>
        <v>0</v>
      </c>
      <c r="H146" s="89">
        <f>((G78*(1-'5.Closing Stock &amp; W Capital'!$D$15))+(F78*'5.Closing Stock &amp; W Capital'!$D$15))*$C$146*H$124</f>
        <v>0</v>
      </c>
      <c r="I146" s="89">
        <f>((H78*(1-'5.Closing Stock &amp; W Capital'!$D$15))+(G78*'5.Closing Stock &amp; W Capital'!$D$15))*$C$146*I$124</f>
        <v>0</v>
      </c>
      <c r="J146" s="89">
        <f>((I78*(1-'5.Closing Stock &amp; W Capital'!$D$15))+(H78*'5.Closing Stock &amp; W Capital'!$D$15))*$C$146*J$124</f>
        <v>0</v>
      </c>
      <c r="K146" s="87"/>
      <c r="U146" s="87"/>
      <c r="V146" s="87"/>
      <c r="W146" s="87"/>
    </row>
    <row r="147" spans="1:23">
      <c r="A147" s="90" t="str">
        <f t="shared" si="52"/>
        <v>Summer</v>
      </c>
      <c r="B147" s="88"/>
      <c r="C147" s="229"/>
      <c r="D147" s="89"/>
      <c r="E147" s="89"/>
      <c r="F147" s="89"/>
      <c r="G147" s="89"/>
      <c r="H147" s="89"/>
      <c r="I147" s="89"/>
      <c r="J147" s="89"/>
      <c r="K147" s="87"/>
      <c r="U147" s="87"/>
      <c r="V147" s="87"/>
      <c r="W147" s="87"/>
    </row>
    <row r="148" spans="1:23">
      <c r="A148" s="88" t="str">
        <f t="shared" si="52"/>
        <v>Groundnut</v>
      </c>
      <c r="B148" s="88"/>
      <c r="C148" s="229"/>
      <c r="D148" s="89">
        <f>(C80*(1-'5.Closing Stock &amp; W Capital'!$D$15))*$C$148*D$124</f>
        <v>0</v>
      </c>
      <c r="E148" s="89">
        <f>((D80*(1-'5.Closing Stock &amp; W Capital'!$D$15))+(C80*'5.Closing Stock &amp; W Capital'!$D$15))*$C$148*E$124</f>
        <v>0</v>
      </c>
      <c r="F148" s="89">
        <f>((E80*(1-'5.Closing Stock &amp; W Capital'!$D$15))+(D80*'5.Closing Stock &amp; W Capital'!$D$15))*$C$148*F$124</f>
        <v>0</v>
      </c>
      <c r="G148" s="89">
        <f>((F80*(1-'5.Closing Stock &amp; W Capital'!$D$15))+(E80*'5.Closing Stock &amp; W Capital'!$D$15))*$C$148*G$124</f>
        <v>0</v>
      </c>
      <c r="H148" s="89">
        <f>((G80*(1-'5.Closing Stock &amp; W Capital'!$D$15))+(F80*'5.Closing Stock &amp; W Capital'!$D$15))*$C$148*H$124</f>
        <v>0</v>
      </c>
      <c r="I148" s="89">
        <f>((H80*(1-'5.Closing Stock &amp; W Capital'!$D$15))+(G80*'5.Closing Stock &amp; W Capital'!$D$15))*$C$148*I$124</f>
        <v>0</v>
      </c>
      <c r="J148" s="89">
        <f>((I80*(1-'5.Closing Stock &amp; W Capital'!$D$15))+(H80*'5.Closing Stock &amp; W Capital'!$D$15))*$C$148*J$124</f>
        <v>0</v>
      </c>
      <c r="K148" s="87"/>
      <c r="U148" s="87"/>
      <c r="V148" s="87"/>
      <c r="W148" s="87"/>
    </row>
    <row r="149" spans="1:23">
      <c r="A149" s="88" t="str">
        <f t="shared" si="52"/>
        <v>Bengal Gram/Channa</v>
      </c>
      <c r="B149" s="88"/>
      <c r="C149" s="229"/>
      <c r="D149" s="89">
        <f>(C81*(1-'5.Closing Stock &amp; W Capital'!$D$15))*$C$149*D$124</f>
        <v>0</v>
      </c>
      <c r="E149" s="89">
        <f>((D81*(1-'5.Closing Stock &amp; W Capital'!$D$15))+(C81*'5.Closing Stock &amp; W Capital'!$D$15))*$C$149*E$124</f>
        <v>0</v>
      </c>
      <c r="F149" s="89">
        <f>((E81*(1-'5.Closing Stock &amp; W Capital'!$D$15))+(D81*'5.Closing Stock &amp; W Capital'!$D$15))*$C$149*F$124</f>
        <v>0</v>
      </c>
      <c r="G149" s="89">
        <f>((F81*(1-'5.Closing Stock &amp; W Capital'!$D$15))+(E81*'5.Closing Stock &amp; W Capital'!$D$15))*$C$149*G$124</f>
        <v>0</v>
      </c>
      <c r="H149" s="89">
        <f>((G81*(1-'5.Closing Stock &amp; W Capital'!$D$15))+(F81*'5.Closing Stock &amp; W Capital'!$D$15))*$C$149*H$124</f>
        <v>0</v>
      </c>
      <c r="I149" s="89">
        <f>((H81*(1-'5.Closing Stock &amp; W Capital'!$D$15))+(G81*'5.Closing Stock &amp; W Capital'!$D$15))*$C$149*I$124</f>
        <v>0</v>
      </c>
      <c r="J149" s="89">
        <f>((I81*(1-'5.Closing Stock &amp; W Capital'!$D$15))+(H81*'5.Closing Stock &amp; W Capital'!$D$15))*$C$149*J$124</f>
        <v>0</v>
      </c>
      <c r="K149" s="87"/>
      <c r="U149" s="87"/>
      <c r="V149" s="87"/>
      <c r="W149" s="87"/>
    </row>
    <row r="150" spans="1:23">
      <c r="A150" s="88">
        <f t="shared" si="52"/>
        <v>0</v>
      </c>
      <c r="B150" s="88"/>
      <c r="C150" s="229"/>
      <c r="D150" s="89">
        <f>(C82*(1-'5.Closing Stock &amp; W Capital'!$D$15))*$C$150*D$124</f>
        <v>0</v>
      </c>
      <c r="E150" s="89">
        <f>((D82*(1-'5.Closing Stock &amp; W Capital'!$D$15))+(C82*'5.Closing Stock &amp; W Capital'!$D$15))*$C$150*E$124</f>
        <v>0</v>
      </c>
      <c r="F150" s="89">
        <f>((E82*(1-'5.Closing Stock &amp; W Capital'!$D$15))+(D82*'5.Closing Stock &amp; W Capital'!$D$15))*$C$150*F$124</f>
        <v>0</v>
      </c>
      <c r="G150" s="89">
        <f>((F82*(1-'5.Closing Stock &amp; W Capital'!$D$15))+(E82*'5.Closing Stock &amp; W Capital'!$D$15))*$C$150*G$124</f>
        <v>0</v>
      </c>
      <c r="H150" s="89">
        <f>((G82*(1-'5.Closing Stock &amp; W Capital'!$D$15))+(F82*'5.Closing Stock &amp; W Capital'!$D$15))*$C$150*H$124</f>
        <v>0</v>
      </c>
      <c r="I150" s="89">
        <f>((H82*(1-'5.Closing Stock &amp; W Capital'!$D$15))+(G82*'5.Closing Stock &amp; W Capital'!$D$15))*$C$150*I$124</f>
        <v>0</v>
      </c>
      <c r="J150" s="89">
        <f>((I82*(1-'5.Closing Stock &amp; W Capital'!$D$15))+(H82*'5.Closing Stock &amp; W Capital'!$D$15))*$C$150*J$124</f>
        <v>0</v>
      </c>
      <c r="K150" s="87"/>
      <c r="U150" s="87"/>
      <c r="V150" s="87"/>
      <c r="W150" s="87"/>
    </row>
    <row r="151" spans="1:23">
      <c r="A151" s="88">
        <f t="shared" si="52"/>
        <v>0</v>
      </c>
      <c r="B151" s="88"/>
      <c r="C151" s="229"/>
      <c r="D151" s="89">
        <f>(C83*(1-'5.Closing Stock &amp; W Capital'!$D$15))*$C$151*D$124</f>
        <v>0</v>
      </c>
      <c r="E151" s="89">
        <f>((D83*(1-'5.Closing Stock &amp; W Capital'!$D$15))+(C83*'5.Closing Stock &amp; W Capital'!$D$15))*$C$151*E$124</f>
        <v>0</v>
      </c>
      <c r="F151" s="89">
        <f>((E83*(1-'5.Closing Stock &amp; W Capital'!$D$15))+(D83*'5.Closing Stock &amp; W Capital'!$D$15))*$C$151*F$124</f>
        <v>0</v>
      </c>
      <c r="G151" s="89">
        <f>((F83*(1-'5.Closing Stock &amp; W Capital'!$D$15))+(E83*'5.Closing Stock &amp; W Capital'!$D$15))*$C$151*G$124</f>
        <v>0</v>
      </c>
      <c r="H151" s="89">
        <f>((G83*(1-'5.Closing Stock &amp; W Capital'!$D$15))+(F83*'5.Closing Stock &amp; W Capital'!$D$15))*$C$151*H$124</f>
        <v>0</v>
      </c>
      <c r="I151" s="89">
        <f>((H83*(1-'5.Closing Stock &amp; W Capital'!$D$15))+(G83*'5.Closing Stock &amp; W Capital'!$D$15))*$C$151*I$124</f>
        <v>0</v>
      </c>
      <c r="J151" s="89">
        <f>((I83*(1-'5.Closing Stock &amp; W Capital'!$D$15))+(H83*'5.Closing Stock &amp; W Capital'!$D$15))*$C$151*J$124</f>
        <v>0</v>
      </c>
      <c r="K151" s="87"/>
      <c r="U151" s="87"/>
      <c r="V151" s="87"/>
      <c r="W151" s="87"/>
    </row>
    <row r="152" spans="1:23">
      <c r="A152" s="88">
        <f t="shared" si="52"/>
        <v>0</v>
      </c>
      <c r="B152" s="88"/>
      <c r="C152" s="229"/>
      <c r="D152" s="89">
        <f>(C84*(1-'5.Closing Stock &amp; W Capital'!$D$15))*$C$152*D$124</f>
        <v>0</v>
      </c>
      <c r="E152" s="89">
        <f>((D84*(1-'5.Closing Stock &amp; W Capital'!$D$15))+(C84*'5.Closing Stock &amp; W Capital'!$D$15))*$C$152*E$124</f>
        <v>0</v>
      </c>
      <c r="F152" s="89">
        <f>((E84*(1-'5.Closing Stock &amp; W Capital'!$D$15))+(D84*'5.Closing Stock &amp; W Capital'!$D$15))*$C$152*F$124</f>
        <v>0</v>
      </c>
      <c r="G152" s="89">
        <f>((F84*(1-'5.Closing Stock &amp; W Capital'!$D$15))+(E84*'5.Closing Stock &amp; W Capital'!$D$15))*$C$152*G$124</f>
        <v>0</v>
      </c>
      <c r="H152" s="89">
        <f>((G84*(1-'5.Closing Stock &amp; W Capital'!$D$15))+(F84*'5.Closing Stock &amp; W Capital'!$D$15))*$C$152*H$124</f>
        <v>0</v>
      </c>
      <c r="I152" s="89">
        <f>((H84*(1-'5.Closing Stock &amp; W Capital'!$D$15))+(G84*'5.Closing Stock &amp; W Capital'!$D$15))*$C$152*I$124</f>
        <v>0</v>
      </c>
      <c r="J152" s="89">
        <f>((I84*(1-'5.Closing Stock &amp; W Capital'!$D$15))+(H84*'5.Closing Stock &amp; W Capital'!$D$15))*$C$152*J$124</f>
        <v>0</v>
      </c>
      <c r="K152" s="87"/>
      <c r="U152" s="87"/>
      <c r="V152" s="87"/>
      <c r="W152" s="87"/>
    </row>
    <row r="153" spans="1:23">
      <c r="A153" s="88" t="str">
        <f t="shared" si="52"/>
        <v>Fruit  &amp; Vegetables Crop Production Details</v>
      </c>
      <c r="B153" s="88"/>
      <c r="C153" s="229"/>
      <c r="D153" s="89"/>
      <c r="E153" s="89"/>
      <c r="F153" s="89"/>
      <c r="G153" s="89"/>
      <c r="H153" s="89"/>
      <c r="I153" s="89"/>
      <c r="J153" s="89"/>
      <c r="K153" s="87"/>
      <c r="U153" s="87"/>
      <c r="V153" s="87"/>
      <c r="W153" s="87"/>
    </row>
    <row r="154" spans="1:23">
      <c r="A154" s="88" t="str">
        <f t="shared" si="52"/>
        <v>Onion</v>
      </c>
      <c r="B154" s="88"/>
      <c r="C154" s="229"/>
      <c r="D154" s="89">
        <f>(C86*(1-'5.Closing Stock &amp; W Capital'!$D$15))*$C154*D$124</f>
        <v>0</v>
      </c>
      <c r="E154" s="89">
        <f>((D86*(1-'5.Closing Stock &amp; W Capital'!$D$15))+(C86*'5.Closing Stock &amp; W Capital'!$D$15))*$C154*E$124</f>
        <v>0</v>
      </c>
      <c r="F154" s="89">
        <f>((E86*(1-'5.Closing Stock &amp; W Capital'!$D$15))+(D86*'5.Closing Stock &amp; W Capital'!$D$15))*$C$152*F$124</f>
        <v>0</v>
      </c>
      <c r="G154" s="89">
        <f>((F86*(1-'5.Closing Stock &amp; W Capital'!$D$15))+(E86*'5.Closing Stock &amp; W Capital'!$D$15))*$C$152*G$124</f>
        <v>0</v>
      </c>
      <c r="H154" s="89">
        <f>((G86*(1-'5.Closing Stock &amp; W Capital'!$D$15))+(F86*'5.Closing Stock &amp; W Capital'!$D$15))*$C$152*H$124</f>
        <v>0</v>
      </c>
      <c r="I154" s="89">
        <f>((H86*(1-'5.Closing Stock &amp; W Capital'!$D$15))+(G86*'5.Closing Stock &amp; W Capital'!$D$15))*$C$152*I$124</f>
        <v>0</v>
      </c>
      <c r="J154" s="89">
        <f>((I86*(1-'5.Closing Stock &amp; W Capital'!$D$15))+(H86*'5.Closing Stock &amp; W Capital'!$D$15))*$C$152*J$124</f>
        <v>0</v>
      </c>
      <c r="K154" s="87"/>
      <c r="U154" s="87"/>
      <c r="V154" s="87"/>
      <c r="W154" s="87"/>
    </row>
    <row r="155" spans="1:23">
      <c r="A155" s="88" t="str">
        <f t="shared" si="52"/>
        <v>Tomato</v>
      </c>
      <c r="B155" s="88"/>
      <c r="C155" s="229"/>
      <c r="D155" s="89">
        <f>(C87*(1-'5.Closing Stock &amp; W Capital'!$D$15))*$C155*D$124</f>
        <v>0</v>
      </c>
      <c r="E155" s="89">
        <f>((D87*(1-'5.Closing Stock &amp; W Capital'!$D$15))+(C87*'5.Closing Stock &amp; W Capital'!$D$15))*$C155*E$124</f>
        <v>0</v>
      </c>
      <c r="F155" s="89">
        <f>((E87*(1-'5.Closing Stock &amp; W Capital'!$D$15))+(D87*'5.Closing Stock &amp; W Capital'!$D$15))*$C$152*F$124</f>
        <v>0</v>
      </c>
      <c r="G155" s="89">
        <f>((F87*(1-'5.Closing Stock &amp; W Capital'!$D$15))+(E87*'5.Closing Stock &amp; W Capital'!$D$15))*$C$152*G$124</f>
        <v>0</v>
      </c>
      <c r="H155" s="89">
        <f>((G87*(1-'5.Closing Stock &amp; W Capital'!$D$15))+(F87*'5.Closing Stock &amp; W Capital'!$D$15))*$C$152*H$124</f>
        <v>0</v>
      </c>
      <c r="I155" s="89">
        <f>((H87*(1-'5.Closing Stock &amp; W Capital'!$D$15))+(G87*'5.Closing Stock &amp; W Capital'!$D$15))*$C$152*I$124</f>
        <v>0</v>
      </c>
      <c r="J155" s="89">
        <f>((I87*(1-'5.Closing Stock &amp; W Capital'!$D$15))+(H87*'5.Closing Stock &amp; W Capital'!$D$15))*$C$152*J$124</f>
        <v>0</v>
      </c>
      <c r="K155" s="87"/>
      <c r="U155" s="87"/>
      <c r="V155" s="87"/>
      <c r="W155" s="87"/>
    </row>
    <row r="156" spans="1:23">
      <c r="A156" s="88" t="str">
        <f t="shared" si="52"/>
        <v>Okra</v>
      </c>
      <c r="B156" s="88"/>
      <c r="C156" s="229"/>
      <c r="D156" s="89">
        <f>(C88*(1-'5.Closing Stock &amp; W Capital'!$D$15))*$C156*D$124</f>
        <v>0</v>
      </c>
      <c r="E156" s="89">
        <f>((D88*(1-'5.Closing Stock &amp; W Capital'!$D$15))+(C88*'5.Closing Stock &amp; W Capital'!$D$15))*$C156*E$124</f>
        <v>0</v>
      </c>
      <c r="F156" s="89">
        <f>((E88*(1-'5.Closing Stock &amp; W Capital'!$D$15))+(D88*'5.Closing Stock &amp; W Capital'!$D$15))*$C$152*F$124</f>
        <v>0</v>
      </c>
      <c r="G156" s="89">
        <f>((F88*(1-'5.Closing Stock &amp; W Capital'!$D$15))+(E88*'5.Closing Stock &amp; W Capital'!$D$15))*$C$152*G$124</f>
        <v>0</v>
      </c>
      <c r="H156" s="89">
        <f>((G88*(1-'5.Closing Stock &amp; W Capital'!$D$15))+(F88*'5.Closing Stock &amp; W Capital'!$D$15))*$C$152*H$124</f>
        <v>0</v>
      </c>
      <c r="I156" s="89">
        <f>((H88*(1-'5.Closing Stock &amp; W Capital'!$D$15))+(G88*'5.Closing Stock &amp; W Capital'!$D$15))*$C$152*I$124</f>
        <v>0</v>
      </c>
      <c r="J156" s="89">
        <f>((I88*(1-'5.Closing Stock &amp; W Capital'!$D$15))+(H88*'5.Closing Stock &amp; W Capital'!$D$15))*$C$152*J$124</f>
        <v>0</v>
      </c>
      <c r="K156" s="87"/>
      <c r="U156" s="87"/>
      <c r="V156" s="87"/>
      <c r="W156" s="87"/>
    </row>
    <row r="157" spans="1:23">
      <c r="A157" s="88" t="str">
        <f t="shared" si="52"/>
        <v>Chilli</v>
      </c>
      <c r="B157" s="88"/>
      <c r="C157" s="229"/>
      <c r="D157" s="89">
        <f>(C89*(1-'5.Closing Stock &amp; W Capital'!$D$15))*$C157*D$124</f>
        <v>0</v>
      </c>
      <c r="E157" s="89">
        <f>((D89*(1-'5.Closing Stock &amp; W Capital'!$D$15))+(C89*'5.Closing Stock &amp; W Capital'!$D$15))*$C157*E$124</f>
        <v>0</v>
      </c>
      <c r="F157" s="89">
        <f>((E89*(1-'5.Closing Stock &amp; W Capital'!$D$15))+(D89*'5.Closing Stock &amp; W Capital'!$D$15))*$C$152*F$124</f>
        <v>0</v>
      </c>
      <c r="G157" s="89">
        <f>((F89*(1-'5.Closing Stock &amp; W Capital'!$D$15))+(E89*'5.Closing Stock &amp; W Capital'!$D$15))*$C$152*G$124</f>
        <v>0</v>
      </c>
      <c r="H157" s="89">
        <f>((G89*(1-'5.Closing Stock &amp; W Capital'!$D$15))+(F89*'5.Closing Stock &amp; W Capital'!$D$15))*$C$152*H$124</f>
        <v>0</v>
      </c>
      <c r="I157" s="89">
        <f>((H89*(1-'5.Closing Stock &amp; W Capital'!$D$15))+(G89*'5.Closing Stock &amp; W Capital'!$D$15))*$C$152*I$124</f>
        <v>0</v>
      </c>
      <c r="J157" s="89">
        <f>((I89*(1-'5.Closing Stock &amp; W Capital'!$D$15))+(H89*'5.Closing Stock &amp; W Capital'!$D$15))*$C$152*J$124</f>
        <v>0</v>
      </c>
      <c r="K157" s="87"/>
      <c r="U157" s="87"/>
      <c r="V157" s="87"/>
      <c r="W157" s="87"/>
    </row>
    <row r="158" spans="1:23">
      <c r="A158" s="88" t="str">
        <f t="shared" si="52"/>
        <v>Potato</v>
      </c>
      <c r="B158" s="88"/>
      <c r="C158" s="229"/>
      <c r="D158" s="89">
        <f>(C90*(1-'5.Closing Stock &amp; W Capital'!$D$15))*$C158*D$124</f>
        <v>0</v>
      </c>
      <c r="E158" s="89">
        <f>((D90*(1-'5.Closing Stock &amp; W Capital'!$D$15))+(C90*'5.Closing Stock &amp; W Capital'!$D$15))*$C158*E$124</f>
        <v>0</v>
      </c>
      <c r="F158" s="89">
        <f>((E90*(1-'5.Closing Stock &amp; W Capital'!$D$15))+(D90*'5.Closing Stock &amp; W Capital'!$D$15))*$C$152*F$124</f>
        <v>0</v>
      </c>
      <c r="G158" s="89">
        <f>((F90*(1-'5.Closing Stock &amp; W Capital'!$D$15))+(E90*'5.Closing Stock &amp; W Capital'!$D$15))*$C$152*G$124</f>
        <v>0</v>
      </c>
      <c r="H158" s="89">
        <f>((G90*(1-'5.Closing Stock &amp; W Capital'!$D$15))+(F90*'5.Closing Stock &amp; W Capital'!$D$15))*$C$152*H$124</f>
        <v>0</v>
      </c>
      <c r="I158" s="89">
        <f>((H90*(1-'5.Closing Stock &amp; W Capital'!$D$15))+(G90*'5.Closing Stock &amp; W Capital'!$D$15))*$C$152*I$124</f>
        <v>0</v>
      </c>
      <c r="J158" s="89">
        <f>((I90*(1-'5.Closing Stock &amp; W Capital'!$D$15))+(H90*'5.Closing Stock &amp; W Capital'!$D$15))*$C$152*J$124</f>
        <v>0</v>
      </c>
      <c r="K158" s="87"/>
      <c r="U158" s="87"/>
      <c r="V158" s="87"/>
      <c r="W158" s="87"/>
    </row>
    <row r="159" spans="1:23">
      <c r="A159" s="88">
        <f t="shared" si="52"/>
        <v>0</v>
      </c>
      <c r="B159" s="88"/>
      <c r="C159" s="229"/>
      <c r="D159" s="89">
        <f>(C91*(1-'5.Closing Stock &amp; W Capital'!$D$15))*$C159*D$124</f>
        <v>0</v>
      </c>
      <c r="E159" s="89">
        <f>((D91*(1-'5.Closing Stock &amp; W Capital'!$D$15))+(C91*'5.Closing Stock &amp; W Capital'!$D$15))*$C159*E$124</f>
        <v>0</v>
      </c>
      <c r="F159" s="89">
        <f>((E91*(1-'5.Closing Stock &amp; W Capital'!$D$15))+(D91*'5.Closing Stock &amp; W Capital'!$D$15))*$C$152*F$124</f>
        <v>0</v>
      </c>
      <c r="G159" s="89">
        <f>((F91*(1-'5.Closing Stock &amp; W Capital'!$D$15))+(E91*'5.Closing Stock &amp; W Capital'!$D$15))*$C$152*G$124</f>
        <v>0</v>
      </c>
      <c r="H159" s="89">
        <f>((G91*(1-'5.Closing Stock &amp; W Capital'!$D$15))+(F91*'5.Closing Stock &amp; W Capital'!$D$15))*$C$152*H$124</f>
        <v>0</v>
      </c>
      <c r="I159" s="89">
        <f>((H91*(1-'5.Closing Stock &amp; W Capital'!$D$15))+(G91*'5.Closing Stock &amp; W Capital'!$D$15))*$C$152*I$124</f>
        <v>0</v>
      </c>
      <c r="J159" s="89">
        <f>((I91*(1-'5.Closing Stock &amp; W Capital'!$D$15))+(H91*'5.Closing Stock &amp; W Capital'!$D$15))*$C$152*J$124</f>
        <v>0</v>
      </c>
      <c r="K159" s="87"/>
      <c r="U159" s="87"/>
      <c r="V159" s="87"/>
      <c r="W159" s="87"/>
    </row>
    <row r="160" spans="1:23">
      <c r="A160" s="88">
        <f t="shared" si="52"/>
        <v>0</v>
      </c>
      <c r="B160" s="88"/>
      <c r="C160" s="229"/>
      <c r="D160" s="89">
        <f>(C92*(1-'5.Closing Stock &amp; W Capital'!$D$15))*$C160*D$124</f>
        <v>0</v>
      </c>
      <c r="E160" s="89">
        <f>((D92*(1-'5.Closing Stock &amp; W Capital'!$D$15))+(C92*'5.Closing Stock &amp; W Capital'!$D$15))*$C160*E$124</f>
        <v>0</v>
      </c>
      <c r="F160" s="89">
        <f>((E92*(1-'5.Closing Stock &amp; W Capital'!$D$15))+(D92*'5.Closing Stock &amp; W Capital'!$D$15))*$C$152*F$124</f>
        <v>0</v>
      </c>
      <c r="G160" s="89">
        <f>((F92*(1-'5.Closing Stock &amp; W Capital'!$D$15))+(E92*'5.Closing Stock &amp; W Capital'!$D$15))*$C$152*G$124</f>
        <v>0</v>
      </c>
      <c r="H160" s="89">
        <f>((G92*(1-'5.Closing Stock &amp; W Capital'!$D$15))+(F92*'5.Closing Stock &amp; W Capital'!$D$15))*$C$152*H$124</f>
        <v>0</v>
      </c>
      <c r="I160" s="89">
        <f>((H92*(1-'5.Closing Stock &amp; W Capital'!$D$15))+(G92*'5.Closing Stock &amp; W Capital'!$D$15))*$C$152*I$124</f>
        <v>0</v>
      </c>
      <c r="J160" s="89">
        <f>((I92*(1-'5.Closing Stock &amp; W Capital'!$D$15))+(H92*'5.Closing Stock &amp; W Capital'!$D$15))*$C$152*J$124</f>
        <v>0</v>
      </c>
      <c r="K160" s="87"/>
      <c r="U160" s="87"/>
      <c r="V160" s="87"/>
      <c r="W160" s="87"/>
    </row>
    <row r="161" spans="1:23">
      <c r="A161" s="88">
        <f t="shared" ref="A161:A179" si="53">A40</f>
        <v>0</v>
      </c>
      <c r="B161" s="88"/>
      <c r="C161" s="229"/>
      <c r="D161" s="89">
        <f>(C93*(1-'5.Closing Stock &amp; W Capital'!$D$15))*$C161*D$124</f>
        <v>0</v>
      </c>
      <c r="E161" s="89">
        <f>((D93*(1-'5.Closing Stock &amp; W Capital'!$D$15))+(C93*'5.Closing Stock &amp; W Capital'!$D$15))*$C161*E$124</f>
        <v>0</v>
      </c>
      <c r="F161" s="89">
        <f>((E93*(1-'5.Closing Stock &amp; W Capital'!$D$15))+(D93*'5.Closing Stock &amp; W Capital'!$D$15))*$C$152*F$124</f>
        <v>0</v>
      </c>
      <c r="G161" s="89">
        <f>((F93*(1-'5.Closing Stock &amp; W Capital'!$D$15))+(E93*'5.Closing Stock &amp; W Capital'!$D$15))*$C$152*G$124</f>
        <v>0</v>
      </c>
      <c r="H161" s="89">
        <f>((G93*(1-'5.Closing Stock &amp; W Capital'!$D$15))+(F93*'5.Closing Stock &amp; W Capital'!$D$15))*$C$152*H$124</f>
        <v>0</v>
      </c>
      <c r="I161" s="89">
        <f>((H93*(1-'5.Closing Stock &amp; W Capital'!$D$15))+(G93*'5.Closing Stock &amp; W Capital'!$D$15))*$C$152*I$124</f>
        <v>0</v>
      </c>
      <c r="J161" s="89">
        <f>((I93*(1-'5.Closing Stock &amp; W Capital'!$D$15))+(H93*'5.Closing Stock &amp; W Capital'!$D$15))*$C$152*J$124</f>
        <v>0</v>
      </c>
      <c r="K161" s="87"/>
      <c r="U161" s="87"/>
      <c r="V161" s="87"/>
      <c r="W161" s="87"/>
    </row>
    <row r="162" spans="1:23">
      <c r="A162" s="88">
        <f t="shared" si="53"/>
        <v>0</v>
      </c>
      <c r="B162" s="88"/>
      <c r="C162" s="229"/>
      <c r="D162" s="89">
        <f>(C94*(1-'5.Closing Stock &amp; W Capital'!$D$15))*$C162*D$124</f>
        <v>0</v>
      </c>
      <c r="E162" s="89">
        <f>((D94*(1-'5.Closing Stock &amp; W Capital'!$D$15))+(C94*'5.Closing Stock &amp; W Capital'!$D$15))*$C162*E$124</f>
        <v>0</v>
      </c>
      <c r="F162" s="89">
        <f>((E94*(1-'5.Closing Stock &amp; W Capital'!$D$15))+(D94*'5.Closing Stock &amp; W Capital'!$D$15))*$C$152*F$124</f>
        <v>0</v>
      </c>
      <c r="G162" s="89">
        <f>((F94*(1-'5.Closing Stock &amp; W Capital'!$D$15))+(E94*'5.Closing Stock &amp; W Capital'!$D$15))*$C$152*G$124</f>
        <v>0</v>
      </c>
      <c r="H162" s="89">
        <f>((G94*(1-'5.Closing Stock &amp; W Capital'!$D$15))+(F94*'5.Closing Stock &amp; W Capital'!$D$15))*$C$152*H$124</f>
        <v>0</v>
      </c>
      <c r="I162" s="89">
        <f>((H94*(1-'5.Closing Stock &amp; W Capital'!$D$15))+(G94*'5.Closing Stock &amp; W Capital'!$D$15))*$C$152*I$124</f>
        <v>0</v>
      </c>
      <c r="J162" s="89">
        <f>((I94*(1-'5.Closing Stock &amp; W Capital'!$D$15))+(H94*'5.Closing Stock &amp; W Capital'!$D$15))*$C$152*J$124</f>
        <v>0</v>
      </c>
      <c r="K162" s="87"/>
      <c r="U162" s="87"/>
      <c r="V162" s="87"/>
      <c r="W162" s="87"/>
    </row>
    <row r="163" spans="1:23">
      <c r="A163" s="88" t="str">
        <f t="shared" si="53"/>
        <v>Onion</v>
      </c>
      <c r="B163" s="88"/>
      <c r="C163" s="229"/>
      <c r="D163" s="89">
        <f>(C95*(1-'5.Closing Stock &amp; W Capital'!$D$15))*$C163*D$124</f>
        <v>0</v>
      </c>
      <c r="E163" s="89">
        <f>((D95*(1-'5.Closing Stock &amp; W Capital'!$D$15))+(C95*'5.Closing Stock &amp; W Capital'!$D$15))*$C163*E$124</f>
        <v>0</v>
      </c>
      <c r="F163" s="89">
        <f>((E95*(1-'5.Closing Stock &amp; W Capital'!$D$15))+(D95*'5.Closing Stock &amp; W Capital'!$D$15))*$C$152*F$124</f>
        <v>0</v>
      </c>
      <c r="G163" s="89">
        <f>((F95*(1-'5.Closing Stock &amp; W Capital'!$D$15))+(E95*'5.Closing Stock &amp; W Capital'!$D$15))*$C$152*G$124</f>
        <v>0</v>
      </c>
      <c r="H163" s="89">
        <f>((G95*(1-'5.Closing Stock &amp; W Capital'!$D$15))+(F95*'5.Closing Stock &amp; W Capital'!$D$15))*$C$152*H$124</f>
        <v>0</v>
      </c>
      <c r="I163" s="89">
        <f>((H95*(1-'5.Closing Stock &amp; W Capital'!$D$15))+(G95*'5.Closing Stock &amp; W Capital'!$D$15))*$C$152*I$124</f>
        <v>0</v>
      </c>
      <c r="J163" s="89">
        <f>((I95*(1-'5.Closing Stock &amp; W Capital'!$D$15))+(H95*'5.Closing Stock &amp; W Capital'!$D$15))*$C$152*J$124</f>
        <v>0</v>
      </c>
      <c r="K163" s="87"/>
      <c r="U163" s="87"/>
      <c r="V163" s="87"/>
      <c r="W163" s="87"/>
    </row>
    <row r="164" spans="1:23">
      <c r="A164" s="88" t="str">
        <f t="shared" si="53"/>
        <v>Tomato</v>
      </c>
      <c r="B164" s="88"/>
      <c r="C164" s="229"/>
      <c r="D164" s="89">
        <f>(C96*(1-'5.Closing Stock &amp; W Capital'!$D$15))*$C164*D$124</f>
        <v>0</v>
      </c>
      <c r="E164" s="89">
        <f>((D96*(1-'5.Closing Stock &amp; W Capital'!$D$15))+(C96*'5.Closing Stock &amp; W Capital'!$D$15))*$C164*E$124</f>
        <v>0</v>
      </c>
      <c r="F164" s="89">
        <f>((E96*(1-'5.Closing Stock &amp; W Capital'!$D$15))+(D96*'5.Closing Stock &amp; W Capital'!$D$15))*$C$152*F$124</f>
        <v>0</v>
      </c>
      <c r="G164" s="89">
        <f>((F96*(1-'5.Closing Stock &amp; W Capital'!$D$15))+(E96*'5.Closing Stock &amp; W Capital'!$D$15))*$C$152*G$124</f>
        <v>0</v>
      </c>
      <c r="H164" s="89">
        <f>((G96*(1-'5.Closing Stock &amp; W Capital'!$D$15))+(F96*'5.Closing Stock &amp; W Capital'!$D$15))*$C$152*H$124</f>
        <v>0</v>
      </c>
      <c r="I164" s="89">
        <f>((H96*(1-'5.Closing Stock &amp; W Capital'!$D$15))+(G96*'5.Closing Stock &amp; W Capital'!$D$15))*$C$152*I$124</f>
        <v>0</v>
      </c>
      <c r="J164" s="89">
        <f>((I96*(1-'5.Closing Stock &amp; W Capital'!$D$15))+(H96*'5.Closing Stock &amp; W Capital'!$D$15))*$C$152*J$124</f>
        <v>0</v>
      </c>
      <c r="K164" s="87"/>
      <c r="U164" s="87"/>
      <c r="V164" s="87"/>
      <c r="W164" s="87"/>
    </row>
    <row r="165" spans="1:23">
      <c r="A165" s="88" t="str">
        <f t="shared" si="53"/>
        <v>Okra</v>
      </c>
      <c r="B165" s="88"/>
      <c r="C165" s="229"/>
      <c r="D165" s="89">
        <f>(C97*(1-'5.Closing Stock &amp; W Capital'!$D$15))*$C165*D$124</f>
        <v>0</v>
      </c>
      <c r="E165" s="89">
        <f>((D97*(1-'5.Closing Stock &amp; W Capital'!$D$15))+(C97*'5.Closing Stock &amp; W Capital'!$D$15))*$C165*E$124</f>
        <v>0</v>
      </c>
      <c r="F165" s="89">
        <f>((E97*(1-'5.Closing Stock &amp; W Capital'!$D$15))+(D97*'5.Closing Stock &amp; W Capital'!$D$15))*$C$152*F$124</f>
        <v>0</v>
      </c>
      <c r="G165" s="89">
        <f>((F97*(1-'5.Closing Stock &amp; W Capital'!$D$15))+(E97*'5.Closing Stock &amp; W Capital'!$D$15))*$C$152*G$124</f>
        <v>0</v>
      </c>
      <c r="H165" s="89">
        <f>((G97*(1-'5.Closing Stock &amp; W Capital'!$D$15))+(F97*'5.Closing Stock &amp; W Capital'!$D$15))*$C$152*H$124</f>
        <v>0</v>
      </c>
      <c r="I165" s="89">
        <f>((H97*(1-'5.Closing Stock &amp; W Capital'!$D$15))+(G97*'5.Closing Stock &amp; W Capital'!$D$15))*$C$152*I$124</f>
        <v>0</v>
      </c>
      <c r="J165" s="89">
        <f>((I97*(1-'5.Closing Stock &amp; W Capital'!$D$15))+(H97*'5.Closing Stock &amp; W Capital'!$D$15))*$C$152*J$124</f>
        <v>0</v>
      </c>
      <c r="K165" s="87"/>
      <c r="U165" s="87"/>
      <c r="V165" s="87"/>
      <c r="W165" s="87"/>
    </row>
    <row r="166" spans="1:23">
      <c r="A166" s="88" t="str">
        <f t="shared" si="53"/>
        <v>Chilli</v>
      </c>
      <c r="B166" s="88"/>
      <c r="C166" s="229"/>
      <c r="D166" s="89">
        <f>(C98*(1-'5.Closing Stock &amp; W Capital'!$D$15))*$C166*D$124</f>
        <v>0</v>
      </c>
      <c r="E166" s="89">
        <f>((D98*(1-'5.Closing Stock &amp; W Capital'!$D$15))+(C98*'5.Closing Stock &amp; W Capital'!$D$15))*$C166*E$124</f>
        <v>0</v>
      </c>
      <c r="F166" s="89">
        <f>((E98*(1-'5.Closing Stock &amp; W Capital'!$D$15))+(D98*'5.Closing Stock &amp; W Capital'!$D$15))*$C$152*F$124</f>
        <v>0</v>
      </c>
      <c r="G166" s="89">
        <f>((F98*(1-'5.Closing Stock &amp; W Capital'!$D$15))+(E98*'5.Closing Stock &amp; W Capital'!$D$15))*$C$152*G$124</f>
        <v>0</v>
      </c>
      <c r="H166" s="89">
        <f>((G98*(1-'5.Closing Stock &amp; W Capital'!$D$15))+(F98*'5.Closing Stock &amp; W Capital'!$D$15))*$C$152*H$124</f>
        <v>0</v>
      </c>
      <c r="I166" s="89">
        <f>((H98*(1-'5.Closing Stock &amp; W Capital'!$D$15))+(G98*'5.Closing Stock &amp; W Capital'!$D$15))*$C$152*I$124</f>
        <v>0</v>
      </c>
      <c r="J166" s="89">
        <f>((I98*(1-'5.Closing Stock &amp; W Capital'!$D$15))+(H98*'5.Closing Stock &amp; W Capital'!$D$15))*$C$152*J$124</f>
        <v>0</v>
      </c>
      <c r="K166" s="87"/>
      <c r="U166" s="87"/>
      <c r="V166" s="87"/>
      <c r="W166" s="87"/>
    </row>
    <row r="167" spans="1:23">
      <c r="A167" s="88" t="str">
        <f t="shared" si="53"/>
        <v>Brinjal</v>
      </c>
      <c r="B167" s="88"/>
      <c r="C167" s="229"/>
      <c r="D167" s="89">
        <f>(C99*(1-'5.Closing Stock &amp; W Capital'!$D$15))*$C167*D$124</f>
        <v>0</v>
      </c>
      <c r="E167" s="89">
        <f>((D99*(1-'5.Closing Stock &amp; W Capital'!$D$15))+(C99*'5.Closing Stock &amp; W Capital'!$D$15))*$C167*E$124</f>
        <v>0</v>
      </c>
      <c r="F167" s="89">
        <f>((E99*(1-'5.Closing Stock &amp; W Capital'!$D$15))+(D99*'5.Closing Stock &amp; W Capital'!$D$15))*$C$152*F$124</f>
        <v>0</v>
      </c>
      <c r="G167" s="89">
        <f>((F99*(1-'5.Closing Stock &amp; W Capital'!$D$15))+(E99*'5.Closing Stock &amp; W Capital'!$D$15))*$C$152*G$124</f>
        <v>0</v>
      </c>
      <c r="H167" s="89">
        <f>((G99*(1-'5.Closing Stock &amp; W Capital'!$D$15))+(F99*'5.Closing Stock &amp; W Capital'!$D$15))*$C$152*H$124</f>
        <v>0</v>
      </c>
      <c r="I167" s="89">
        <f>((H99*(1-'5.Closing Stock &amp; W Capital'!$D$15))+(G99*'5.Closing Stock &amp; W Capital'!$D$15))*$C$152*I$124</f>
        <v>0</v>
      </c>
      <c r="J167" s="89">
        <f>((I99*(1-'5.Closing Stock &amp; W Capital'!$D$15))+(H99*'5.Closing Stock &amp; W Capital'!$D$15))*$C$152*J$124</f>
        <v>0</v>
      </c>
      <c r="K167" s="87"/>
      <c r="U167" s="87"/>
      <c r="V167" s="87"/>
      <c r="W167" s="87"/>
    </row>
    <row r="168" spans="1:23">
      <c r="A168" s="88">
        <f t="shared" si="53"/>
        <v>0</v>
      </c>
      <c r="B168" s="88"/>
      <c r="C168" s="229"/>
      <c r="D168" s="89">
        <f>(C100*(1-'5.Closing Stock &amp; W Capital'!$D$15))*$C168*D$124</f>
        <v>0</v>
      </c>
      <c r="E168" s="89">
        <f>((D100*(1-'5.Closing Stock &amp; W Capital'!$D$15))+(C100*'5.Closing Stock &amp; W Capital'!$D$15))*$C168*E$124</f>
        <v>0</v>
      </c>
      <c r="F168" s="89">
        <f>((E100*(1-'5.Closing Stock &amp; W Capital'!$D$15))+(D100*'5.Closing Stock &amp; W Capital'!$D$15))*$C$152*F$124</f>
        <v>0</v>
      </c>
      <c r="G168" s="89">
        <f>((F100*(1-'5.Closing Stock &amp; W Capital'!$D$15))+(E100*'5.Closing Stock &amp; W Capital'!$D$15))*$C$152*G$124</f>
        <v>0</v>
      </c>
      <c r="H168" s="89">
        <f>((G100*(1-'5.Closing Stock &amp; W Capital'!$D$15))+(F100*'5.Closing Stock &amp; W Capital'!$D$15))*$C$152*H$124</f>
        <v>0</v>
      </c>
      <c r="I168" s="89">
        <f>((H100*(1-'5.Closing Stock &amp; W Capital'!$D$15))+(G100*'5.Closing Stock &amp; W Capital'!$D$15))*$C$152*I$124</f>
        <v>0</v>
      </c>
      <c r="J168" s="89">
        <f>((I100*(1-'5.Closing Stock &amp; W Capital'!$D$15))+(H100*'5.Closing Stock &amp; W Capital'!$D$15))*$C$152*J$124</f>
        <v>0</v>
      </c>
      <c r="K168" s="87"/>
      <c r="U168" s="87"/>
      <c r="V168" s="87"/>
      <c r="W168" s="87"/>
    </row>
    <row r="169" spans="1:23">
      <c r="A169" s="88">
        <f t="shared" si="53"/>
        <v>0</v>
      </c>
      <c r="B169" s="88"/>
      <c r="C169" s="229"/>
      <c r="D169" s="89">
        <f>(C101*(1-'5.Closing Stock &amp; W Capital'!$D$15))*$C169*D$124</f>
        <v>0</v>
      </c>
      <c r="E169" s="89">
        <f>((D101*(1-'5.Closing Stock &amp; W Capital'!$D$15))+(C101*'5.Closing Stock &amp; W Capital'!$D$15))*$C169*E$124</f>
        <v>0</v>
      </c>
      <c r="F169" s="89">
        <f>((E101*(1-'5.Closing Stock &amp; W Capital'!$D$15))+(D101*'5.Closing Stock &amp; W Capital'!$D$15))*$C$152*F$124</f>
        <v>0</v>
      </c>
      <c r="G169" s="89">
        <f>((F101*(1-'5.Closing Stock &amp; W Capital'!$D$15))+(E101*'5.Closing Stock &amp; W Capital'!$D$15))*$C$152*G$124</f>
        <v>0</v>
      </c>
      <c r="H169" s="89">
        <f>((G101*(1-'5.Closing Stock &amp; W Capital'!$D$15))+(F101*'5.Closing Stock &amp; W Capital'!$D$15))*$C$152*H$124</f>
        <v>0</v>
      </c>
      <c r="I169" s="89">
        <f>((H101*(1-'5.Closing Stock &amp; W Capital'!$D$15))+(G101*'5.Closing Stock &amp; W Capital'!$D$15))*$C$152*I$124</f>
        <v>0</v>
      </c>
      <c r="J169" s="89">
        <f>((I101*(1-'5.Closing Stock &amp; W Capital'!$D$15))+(H101*'5.Closing Stock &amp; W Capital'!$D$15))*$C$152*J$124</f>
        <v>0</v>
      </c>
      <c r="K169" s="87"/>
      <c r="U169" s="87"/>
      <c r="V169" s="87"/>
      <c r="W169" s="87"/>
    </row>
    <row r="170" spans="1:23">
      <c r="A170" s="88">
        <f t="shared" si="53"/>
        <v>0</v>
      </c>
      <c r="B170" s="88"/>
      <c r="C170" s="229"/>
      <c r="D170" s="89">
        <f>(C102*(1-'5.Closing Stock &amp; W Capital'!$D$15))*$C170*D$124</f>
        <v>0</v>
      </c>
      <c r="E170" s="89">
        <f>((D102*(1-'5.Closing Stock &amp; W Capital'!$D$15))+(C102*'5.Closing Stock &amp; W Capital'!$D$15))*$C170*E$124</f>
        <v>0</v>
      </c>
      <c r="F170" s="89">
        <f>((E102*(1-'5.Closing Stock &amp; W Capital'!$D$15))+(D102*'5.Closing Stock &amp; W Capital'!$D$15))*$C$152*F$124</f>
        <v>0</v>
      </c>
      <c r="G170" s="89">
        <f>((F102*(1-'5.Closing Stock &amp; W Capital'!$D$15))+(E102*'5.Closing Stock &amp; W Capital'!$D$15))*$C$152*G$124</f>
        <v>0</v>
      </c>
      <c r="H170" s="89">
        <f>((G102*(1-'5.Closing Stock &amp; W Capital'!$D$15))+(F102*'5.Closing Stock &amp; W Capital'!$D$15))*$C$152*H$124</f>
        <v>0</v>
      </c>
      <c r="I170" s="89">
        <f>((H102*(1-'5.Closing Stock &amp; W Capital'!$D$15))+(G102*'5.Closing Stock &amp; W Capital'!$D$15))*$C$152*I$124</f>
        <v>0</v>
      </c>
      <c r="J170" s="89">
        <f>((I102*(1-'5.Closing Stock &amp; W Capital'!$D$15))+(H102*'5.Closing Stock &amp; W Capital'!$D$15))*$C$152*J$124</f>
        <v>0</v>
      </c>
      <c r="K170" s="87"/>
      <c r="U170" s="87"/>
      <c r="V170" s="87"/>
      <c r="W170" s="87"/>
    </row>
    <row r="171" spans="1:23">
      <c r="A171" s="88">
        <f t="shared" si="53"/>
        <v>0</v>
      </c>
      <c r="B171" s="88"/>
      <c r="C171" s="229"/>
      <c r="D171" s="89">
        <f>(C103*(1-'5.Closing Stock &amp; W Capital'!$D$15))*$C171*D$124</f>
        <v>0</v>
      </c>
      <c r="E171" s="89">
        <f>((D103*(1-'5.Closing Stock &amp; W Capital'!$D$15))+(C103*'5.Closing Stock &amp; W Capital'!$D$15))*$C171*E$124</f>
        <v>0</v>
      </c>
      <c r="F171" s="89">
        <f>((E103*(1-'5.Closing Stock &amp; W Capital'!$D$15))+(D103*'5.Closing Stock &amp; W Capital'!$D$15))*$C$152*F$124</f>
        <v>0</v>
      </c>
      <c r="G171" s="89">
        <f>((F103*(1-'5.Closing Stock &amp; W Capital'!$D$15))+(E103*'5.Closing Stock &amp; W Capital'!$D$15))*$C$152*G$124</f>
        <v>0</v>
      </c>
      <c r="H171" s="89">
        <f>((G103*(1-'5.Closing Stock &amp; W Capital'!$D$15))+(F103*'5.Closing Stock &amp; W Capital'!$D$15))*$C$152*H$124</f>
        <v>0</v>
      </c>
      <c r="I171" s="89">
        <f>((H103*(1-'5.Closing Stock &amp; W Capital'!$D$15))+(G103*'5.Closing Stock &amp; W Capital'!$D$15))*$C$152*I$124</f>
        <v>0</v>
      </c>
      <c r="J171" s="89">
        <f>((I103*(1-'5.Closing Stock &amp; W Capital'!$D$15))+(H103*'5.Closing Stock &amp; W Capital'!$D$15))*$C$152*J$124</f>
        <v>0</v>
      </c>
      <c r="K171" s="87"/>
      <c r="U171" s="87"/>
      <c r="V171" s="87"/>
      <c r="W171" s="87"/>
    </row>
    <row r="172" spans="1:23">
      <c r="A172" s="88">
        <f t="shared" si="53"/>
        <v>0</v>
      </c>
      <c r="B172" s="88"/>
      <c r="C172" s="229"/>
      <c r="D172" s="89">
        <f>(C104*(1-'5.Closing Stock &amp; W Capital'!$D$15))*$C172*D$124</f>
        <v>0</v>
      </c>
      <c r="E172" s="89">
        <f>((D104*(1-'5.Closing Stock &amp; W Capital'!$D$15))+(C104*'5.Closing Stock &amp; W Capital'!$D$15))*$C172*E$124</f>
        <v>0</v>
      </c>
      <c r="F172" s="89">
        <f>((E104*(1-'5.Closing Stock &amp; W Capital'!$D$15))+(D104*'5.Closing Stock &amp; W Capital'!$D$15))*$C$152*F$124</f>
        <v>0</v>
      </c>
      <c r="G172" s="89">
        <f>((F104*(1-'5.Closing Stock &amp; W Capital'!$D$15))+(E104*'5.Closing Stock &amp; W Capital'!$D$15))*$C$152*G$124</f>
        <v>0</v>
      </c>
      <c r="H172" s="89">
        <f>((G104*(1-'5.Closing Stock &amp; W Capital'!$D$15))+(F104*'5.Closing Stock &amp; W Capital'!$D$15))*$C$152*H$124</f>
        <v>0</v>
      </c>
      <c r="I172" s="89">
        <f>((H104*(1-'5.Closing Stock &amp; W Capital'!$D$15))+(G104*'5.Closing Stock &amp; W Capital'!$D$15))*$C$152*I$124</f>
        <v>0</v>
      </c>
      <c r="J172" s="89">
        <f>((I104*(1-'5.Closing Stock &amp; W Capital'!$D$15))+(H104*'5.Closing Stock &amp; W Capital'!$D$15))*$C$152*J$124</f>
        <v>0</v>
      </c>
      <c r="K172" s="87"/>
      <c r="U172" s="87"/>
      <c r="V172" s="87"/>
      <c r="W172" s="87"/>
    </row>
    <row r="173" spans="1:23">
      <c r="A173" s="88">
        <f t="shared" si="53"/>
        <v>0</v>
      </c>
      <c r="B173" s="88"/>
      <c r="C173" s="229"/>
      <c r="D173" s="89">
        <f>(C105*(1-'5.Closing Stock &amp; W Capital'!$D$15))*$C173*D$124</f>
        <v>0</v>
      </c>
      <c r="E173" s="89">
        <f>((D105*(1-'5.Closing Stock &amp; W Capital'!$D$15))+(C105*'5.Closing Stock &amp; W Capital'!$D$15))*$C173*E$124</f>
        <v>0</v>
      </c>
      <c r="F173" s="89">
        <f>((E105*(1-'5.Closing Stock &amp; W Capital'!$D$15))+(D105*'5.Closing Stock &amp; W Capital'!$D$15))*$C$152*F$124</f>
        <v>0</v>
      </c>
      <c r="G173" s="89">
        <f>((F105*(1-'5.Closing Stock &amp; W Capital'!$D$15))+(E105*'5.Closing Stock &amp; W Capital'!$D$15))*$C$152*G$124</f>
        <v>0</v>
      </c>
      <c r="H173" s="89">
        <f>((G105*(1-'5.Closing Stock &amp; W Capital'!$D$15))+(F105*'5.Closing Stock &amp; W Capital'!$D$15))*$C$152*H$124</f>
        <v>0</v>
      </c>
      <c r="I173" s="89">
        <f>((H105*(1-'5.Closing Stock &amp; W Capital'!$D$15))+(G105*'5.Closing Stock &amp; W Capital'!$D$15))*$C$152*I$124</f>
        <v>0</v>
      </c>
      <c r="J173" s="89">
        <f>((I105*(1-'5.Closing Stock &amp; W Capital'!$D$15))+(H105*'5.Closing Stock &amp; W Capital'!$D$15))*$C$152*J$124</f>
        <v>0</v>
      </c>
      <c r="K173" s="87"/>
      <c r="U173" s="87"/>
      <c r="V173" s="87"/>
      <c r="W173" s="87"/>
    </row>
    <row r="174" spans="1:23">
      <c r="A174" s="88">
        <f t="shared" si="53"/>
        <v>0</v>
      </c>
      <c r="B174" s="88"/>
      <c r="C174" s="229"/>
      <c r="D174" s="89">
        <f>(C106*(1-'5.Closing Stock &amp; W Capital'!$D$15))*$C174*D$124</f>
        <v>0</v>
      </c>
      <c r="E174" s="89">
        <f>((D106*(1-'5.Closing Stock &amp; W Capital'!$D$15))+(C106*'5.Closing Stock &amp; W Capital'!$D$15))*$C174*E$124</f>
        <v>0</v>
      </c>
      <c r="F174" s="89">
        <f>((E106*(1-'5.Closing Stock &amp; W Capital'!$D$15))+(D106*'5.Closing Stock &amp; W Capital'!$D$15))*$C$152*F$124</f>
        <v>0</v>
      </c>
      <c r="G174" s="89">
        <f>((F106*(1-'5.Closing Stock &amp; W Capital'!$D$15))+(E106*'5.Closing Stock &amp; W Capital'!$D$15))*$C$152*G$124</f>
        <v>0</v>
      </c>
      <c r="H174" s="89">
        <f>((G106*(1-'5.Closing Stock &amp; W Capital'!$D$15))+(F106*'5.Closing Stock &amp; W Capital'!$D$15))*$C$152*H$124</f>
        <v>0</v>
      </c>
      <c r="I174" s="89">
        <f>((H106*(1-'5.Closing Stock &amp; W Capital'!$D$15))+(G106*'5.Closing Stock &amp; W Capital'!$D$15))*$C$152*I$124</f>
        <v>0</v>
      </c>
      <c r="J174" s="89">
        <f>((I106*(1-'5.Closing Stock &amp; W Capital'!$D$15))+(H106*'5.Closing Stock &amp; W Capital'!$D$15))*$C$152*J$124</f>
        <v>0</v>
      </c>
      <c r="K174" s="87"/>
      <c r="U174" s="87"/>
      <c r="V174" s="87"/>
      <c r="W174" s="87"/>
    </row>
    <row r="175" spans="1:23">
      <c r="A175" s="88" t="str">
        <f t="shared" si="53"/>
        <v>Pomegranate</v>
      </c>
      <c r="B175" s="88"/>
      <c r="C175" s="229"/>
      <c r="D175" s="89">
        <f>(C107*(1-'5.Closing Stock &amp; W Capital'!$D$15))*$C175*D$124</f>
        <v>0</v>
      </c>
      <c r="E175" s="89">
        <f>((D107*(1-'5.Closing Stock &amp; W Capital'!$D$15))+(C107*'5.Closing Stock &amp; W Capital'!$D$15))*$C175*E$124</f>
        <v>0</v>
      </c>
      <c r="F175" s="89">
        <f>((E107*(1-'5.Closing Stock &amp; W Capital'!$D$15))+(D107*'5.Closing Stock &amp; W Capital'!$D$15))*$C$152*F$124</f>
        <v>0</v>
      </c>
      <c r="G175" s="89">
        <f>((F107*(1-'5.Closing Stock &amp; W Capital'!$D$15))+(E107*'5.Closing Stock &amp; W Capital'!$D$15))*$C$152*G$124</f>
        <v>0</v>
      </c>
      <c r="H175" s="89">
        <f>((G107*(1-'5.Closing Stock &amp; W Capital'!$D$15))+(F107*'5.Closing Stock &amp; W Capital'!$D$15))*$C$152*H$124</f>
        <v>0</v>
      </c>
      <c r="I175" s="89">
        <f>((H107*(1-'5.Closing Stock &amp; W Capital'!$D$15))+(G107*'5.Closing Stock &amp; W Capital'!$D$15))*$C$152*I$124</f>
        <v>0</v>
      </c>
      <c r="J175" s="89">
        <f>((I107*(1-'5.Closing Stock &amp; W Capital'!$D$15))+(H107*'5.Closing Stock &amp; W Capital'!$D$15))*$C$152*J$124</f>
        <v>0</v>
      </c>
      <c r="K175" s="87"/>
      <c r="U175" s="87"/>
      <c r="V175" s="87"/>
      <c r="W175" s="87"/>
    </row>
    <row r="176" spans="1:23">
      <c r="A176" s="88" t="str">
        <f t="shared" si="53"/>
        <v>Custard Apple</v>
      </c>
      <c r="B176" s="88"/>
      <c r="C176" s="229"/>
      <c r="D176" s="89">
        <f>(C108*(1-'5.Closing Stock &amp; W Capital'!$D$15))*$C176*D$124</f>
        <v>0</v>
      </c>
      <c r="E176" s="89">
        <f>((D108*(1-'5.Closing Stock &amp; W Capital'!$D$15))+(C108*'5.Closing Stock &amp; W Capital'!$D$15))*$C176*E$124</f>
        <v>0</v>
      </c>
      <c r="F176" s="89">
        <f>((E108*(1-'5.Closing Stock &amp; W Capital'!$D$15))+(D108*'5.Closing Stock &amp; W Capital'!$D$15))*$C$152*F$124</f>
        <v>0</v>
      </c>
      <c r="G176" s="89">
        <f>((F108*(1-'5.Closing Stock &amp; W Capital'!$D$15))+(E108*'5.Closing Stock &amp; W Capital'!$D$15))*$C$152*G$124</f>
        <v>0</v>
      </c>
      <c r="H176" s="89">
        <f>((G108*(1-'5.Closing Stock &amp; W Capital'!$D$15))+(F108*'5.Closing Stock &amp; W Capital'!$D$15))*$C$152*H$124</f>
        <v>0</v>
      </c>
      <c r="I176" s="89">
        <f>((H108*(1-'5.Closing Stock &amp; W Capital'!$D$15))+(G108*'5.Closing Stock &amp; W Capital'!$D$15))*$C$152*I$124</f>
        <v>0</v>
      </c>
      <c r="J176" s="89">
        <f>((I108*(1-'5.Closing Stock &amp; W Capital'!$D$15))+(H108*'5.Closing Stock &amp; W Capital'!$D$15))*$C$152*J$124</f>
        <v>0</v>
      </c>
      <c r="K176" s="87"/>
      <c r="U176" s="87"/>
      <c r="V176" s="87"/>
      <c r="W176" s="87"/>
    </row>
    <row r="177" spans="1:23">
      <c r="A177" s="88" t="str">
        <f t="shared" si="53"/>
        <v>Guava</v>
      </c>
      <c r="B177" s="88"/>
      <c r="C177" s="229"/>
      <c r="D177" s="89">
        <f>(C109*(1-'5.Closing Stock &amp; W Capital'!$D$15))*$C177*D$124</f>
        <v>0</v>
      </c>
      <c r="E177" s="89">
        <f>((D109*(1-'5.Closing Stock &amp; W Capital'!$D$15))+(C109*'5.Closing Stock &amp; W Capital'!$D$15))*$C177*E$124</f>
        <v>0</v>
      </c>
      <c r="F177" s="89">
        <f>((E109*(1-'5.Closing Stock &amp; W Capital'!$D$15))+(D109*'5.Closing Stock &amp; W Capital'!$D$15))*$C$152*F$124</f>
        <v>0</v>
      </c>
      <c r="G177" s="89">
        <f>((F109*(1-'5.Closing Stock &amp; W Capital'!$D$15))+(E109*'5.Closing Stock &amp; W Capital'!$D$15))*$C$152*G$124</f>
        <v>0</v>
      </c>
      <c r="H177" s="89">
        <f>((G109*(1-'5.Closing Stock &amp; W Capital'!$D$15))+(F109*'5.Closing Stock &amp; W Capital'!$D$15))*$C$152*H$124</f>
        <v>0</v>
      </c>
      <c r="I177" s="89">
        <f>((H109*(1-'5.Closing Stock &amp; W Capital'!$D$15))+(G109*'5.Closing Stock &amp; W Capital'!$D$15))*$C$152*I$124</f>
        <v>0</v>
      </c>
      <c r="J177" s="89">
        <f>((I109*(1-'5.Closing Stock &amp; W Capital'!$D$15))+(H109*'5.Closing Stock &amp; W Capital'!$D$15))*$C$152*J$124</f>
        <v>0</v>
      </c>
      <c r="K177" s="87"/>
      <c r="U177" s="87"/>
      <c r="V177" s="87"/>
      <c r="W177" s="87"/>
    </row>
    <row r="178" spans="1:23">
      <c r="A178" s="88" t="str">
        <f t="shared" si="53"/>
        <v>Citrus</v>
      </c>
      <c r="B178" s="88"/>
      <c r="C178" s="229"/>
      <c r="D178" s="89">
        <f>(C110*(1-'5.Closing Stock &amp; W Capital'!$D$15))*$C178*D$124</f>
        <v>0</v>
      </c>
      <c r="E178" s="89">
        <f>((D110*(1-'5.Closing Stock &amp; W Capital'!$D$15))+(C110*'5.Closing Stock &amp; W Capital'!$D$15))*$C178*E$124</f>
        <v>0</v>
      </c>
      <c r="F178" s="89">
        <f>((E110*(1-'5.Closing Stock &amp; W Capital'!$D$15))+(D110*'5.Closing Stock &amp; W Capital'!$D$15))*$C$152*F$124</f>
        <v>0</v>
      </c>
      <c r="G178" s="89">
        <f>((F110*(1-'5.Closing Stock &amp; W Capital'!$D$15))+(E110*'5.Closing Stock &amp; W Capital'!$D$15))*$C$152*G$124</f>
        <v>0</v>
      </c>
      <c r="H178" s="89">
        <f>((G110*(1-'5.Closing Stock &amp; W Capital'!$D$15))+(F110*'5.Closing Stock &amp; W Capital'!$D$15))*$C$152*H$124</f>
        <v>0</v>
      </c>
      <c r="I178" s="89">
        <f>((H110*(1-'5.Closing Stock &amp; W Capital'!$D$15))+(G110*'5.Closing Stock &amp; W Capital'!$D$15))*$C$152*I$124</f>
        <v>0</v>
      </c>
      <c r="J178" s="89">
        <f>((I110*(1-'5.Closing Stock &amp; W Capital'!$D$15))+(H110*'5.Closing Stock &amp; W Capital'!$D$15))*$C$152*J$124</f>
        <v>0</v>
      </c>
      <c r="K178" s="87"/>
      <c r="U178" s="87"/>
      <c r="V178" s="87"/>
      <c r="W178" s="87"/>
    </row>
    <row r="179" spans="1:23">
      <c r="A179" s="88">
        <f t="shared" si="53"/>
        <v>0</v>
      </c>
      <c r="B179" s="88"/>
      <c r="C179" s="229"/>
      <c r="D179" s="89"/>
      <c r="E179" s="89"/>
      <c r="F179" s="89"/>
      <c r="G179" s="89"/>
      <c r="H179" s="89"/>
      <c r="I179" s="89"/>
      <c r="J179" s="89"/>
      <c r="K179" s="87"/>
      <c r="U179" s="87"/>
      <c r="V179" s="87"/>
      <c r="W179" s="87"/>
    </row>
    <row r="180" spans="1:23">
      <c r="A180" s="88"/>
      <c r="B180" s="88"/>
      <c r="C180" s="89"/>
      <c r="D180" s="89"/>
      <c r="E180" s="89"/>
      <c r="F180" s="89"/>
      <c r="G180" s="89"/>
      <c r="H180" s="89"/>
      <c r="I180" s="89"/>
      <c r="J180" s="89"/>
      <c r="K180" s="87"/>
      <c r="U180" s="87"/>
      <c r="V180" s="87"/>
      <c r="W180" s="87"/>
    </row>
    <row r="181" spans="1:23">
      <c r="A181" s="88" t="s">
        <v>291</v>
      </c>
      <c r="B181" s="88"/>
      <c r="C181" s="89"/>
      <c r="D181" s="89"/>
      <c r="E181" s="89"/>
      <c r="F181" s="89"/>
      <c r="G181" s="89"/>
      <c r="H181" s="89"/>
      <c r="I181" s="89"/>
      <c r="J181" s="89"/>
      <c r="K181" s="87"/>
      <c r="U181" s="87"/>
      <c r="V181" s="87"/>
      <c r="W181" s="87"/>
    </row>
    <row r="182" spans="1:23">
      <c r="A182" s="88" t="s">
        <v>418</v>
      </c>
      <c r="B182" s="88"/>
      <c r="C182" s="229">
        <f>350/50</f>
        <v>7</v>
      </c>
      <c r="D182" s="89">
        <f>(C114*(1-'5.Closing Stock &amp; W Capital'!$D$15))*$C$182*D124</f>
        <v>0</v>
      </c>
      <c r="E182" s="89">
        <f>((D114*(1-'5.Closing Stock &amp; W Capital'!$D$15))+(C114*'5.Closing Stock &amp; W Capital'!$D$15))*$C$182*E124</f>
        <v>0</v>
      </c>
      <c r="F182" s="89">
        <f>((E114*(1-'5.Closing Stock &amp; W Capital'!$D$15))+(D114*'5.Closing Stock &amp; W Capital'!$D$15))*$C$182*F124</f>
        <v>0</v>
      </c>
      <c r="G182" s="89">
        <f>((F114*(1-'5.Closing Stock &amp; W Capital'!$D$15))+(E114*'5.Closing Stock &amp; W Capital'!$D$15))*$C$182*G124</f>
        <v>0</v>
      </c>
      <c r="H182" s="89">
        <f>((G114*(1-'5.Closing Stock &amp; W Capital'!$D$15))+(F114*'5.Closing Stock &amp; W Capital'!$D$15))*$C$182*H124</f>
        <v>0</v>
      </c>
      <c r="I182" s="89">
        <f>((H114*(1-'5.Closing Stock &amp; W Capital'!$D$15))+(G114*'5.Closing Stock &amp; W Capital'!$D$15))*$C$182*I124</f>
        <v>0</v>
      </c>
      <c r="J182" s="89">
        <f>((I114*(1-'5.Closing Stock &amp; W Capital'!$D$15))+(H114*'5.Closing Stock &amp; W Capital'!$D$15))*$C$182*J124</f>
        <v>0</v>
      </c>
      <c r="K182" s="87"/>
      <c r="U182" s="87"/>
      <c r="V182" s="87"/>
      <c r="W182" s="87"/>
    </row>
    <row r="183" spans="1:23">
      <c r="A183" s="88" t="s">
        <v>181</v>
      </c>
      <c r="B183" s="88"/>
      <c r="C183" s="229">
        <v>8</v>
      </c>
      <c r="D183" s="89">
        <f>(C115*(1-'5.Closing Stock &amp; W Capital'!$D$15))*$C$183*D124</f>
        <v>0</v>
      </c>
      <c r="E183" s="89">
        <f>((D115*(1-'5.Closing Stock &amp; W Capital'!$D$15))+(C115*'5.Closing Stock &amp; W Capital'!$D$15))*$C$183*E124</f>
        <v>0</v>
      </c>
      <c r="F183" s="89">
        <f>((E115*(1-'5.Closing Stock &amp; W Capital'!$D$15))+(D115*'5.Closing Stock &amp; W Capital'!$D$15))*$C$183*F124</f>
        <v>0</v>
      </c>
      <c r="G183" s="89">
        <f>((F115*(1-'5.Closing Stock &amp; W Capital'!$D$15))+(E115*'5.Closing Stock &amp; W Capital'!$D$15))*$C$183*G124</f>
        <v>0</v>
      </c>
      <c r="H183" s="89">
        <f>((G115*(1-'5.Closing Stock &amp; W Capital'!$D$15))+(F115*'5.Closing Stock &amp; W Capital'!$D$15))*$C$183*H124</f>
        <v>0</v>
      </c>
      <c r="I183" s="89">
        <f>((H115*(1-'5.Closing Stock &amp; W Capital'!$D$15))+(G115*'5.Closing Stock &amp; W Capital'!$D$15))*$C$183*I124</f>
        <v>0</v>
      </c>
      <c r="J183" s="89">
        <f>((I115*(1-'5.Closing Stock &amp; W Capital'!$D$15))+(H115*'5.Closing Stock &amp; W Capital'!$D$15))*$C$183*J124</f>
        <v>0</v>
      </c>
      <c r="K183" s="87"/>
      <c r="U183" s="87"/>
      <c r="V183" s="87"/>
      <c r="W183" s="87"/>
    </row>
    <row r="184" spans="1:23">
      <c r="A184" s="88" t="s">
        <v>183</v>
      </c>
      <c r="B184" s="88"/>
      <c r="C184" s="229">
        <v>30</v>
      </c>
      <c r="D184" s="89">
        <f>(C116*(1-'5.Closing Stock &amp; W Capital'!$D$15))*$C$184*D124</f>
        <v>0</v>
      </c>
      <c r="E184" s="89">
        <f>((D116*(1-'5.Closing Stock &amp; W Capital'!$D$15))+(C116*'5.Closing Stock &amp; W Capital'!$D$15))*$C$184*E124</f>
        <v>0</v>
      </c>
      <c r="F184" s="89">
        <f>((E116*(1-'5.Closing Stock &amp; W Capital'!$D$15))+(D116*'5.Closing Stock &amp; W Capital'!$D$15))*$C$184*F124</f>
        <v>0</v>
      </c>
      <c r="G184" s="89">
        <f>((F116*(1-'5.Closing Stock &amp; W Capital'!$D$15))+(E116*'5.Closing Stock &amp; W Capital'!$D$15))*$C$184*G124</f>
        <v>0</v>
      </c>
      <c r="H184" s="89">
        <f>((G116*(1-'5.Closing Stock &amp; W Capital'!$D$15))+(F116*'5.Closing Stock &amp; W Capital'!$D$15))*$C$184*H124</f>
        <v>0</v>
      </c>
      <c r="I184" s="89">
        <f>((H116*(1-'5.Closing Stock &amp; W Capital'!$D$15))+(G116*'5.Closing Stock &amp; W Capital'!$D$15))*$C$184*I124</f>
        <v>0</v>
      </c>
      <c r="J184" s="89">
        <f>((I116*(1-'5.Closing Stock &amp; W Capital'!$D$15))+(H116*'5.Closing Stock &amp; W Capital'!$D$15))*$C$184*J124</f>
        <v>0</v>
      </c>
      <c r="K184" s="87"/>
      <c r="U184" s="87"/>
      <c r="V184" s="87"/>
      <c r="W184" s="87"/>
    </row>
    <row r="185" spans="1:23">
      <c r="A185" s="88"/>
      <c r="B185" s="88"/>
      <c r="C185" s="89"/>
      <c r="D185" s="89"/>
      <c r="E185" s="89"/>
      <c r="F185" s="89"/>
      <c r="G185" s="89"/>
      <c r="H185" s="89"/>
      <c r="I185" s="89"/>
      <c r="J185" s="89"/>
      <c r="K185" s="87"/>
      <c r="U185" s="87"/>
      <c r="V185" s="87"/>
      <c r="W185" s="87"/>
    </row>
    <row r="186" spans="1:23">
      <c r="A186" s="88" t="s">
        <v>182</v>
      </c>
      <c r="B186" s="88"/>
      <c r="C186" s="89"/>
      <c r="D186" s="89"/>
      <c r="E186" s="89"/>
      <c r="F186" s="89"/>
      <c r="G186" s="89"/>
      <c r="H186" s="89"/>
      <c r="I186" s="89"/>
      <c r="J186" s="89"/>
      <c r="K186" s="87"/>
      <c r="U186" s="87"/>
      <c r="V186" s="87"/>
      <c r="W186" s="87"/>
    </row>
    <row r="187" spans="1:23">
      <c r="A187" s="88" t="s">
        <v>188</v>
      </c>
      <c r="B187" s="88"/>
      <c r="C187" s="229">
        <v>3000</v>
      </c>
      <c r="D187" s="89">
        <f>(C118*(1-'5.Closing Stock &amp; W Capital'!$D$15))*$C$187*D124</f>
        <v>0</v>
      </c>
      <c r="E187" s="89">
        <f>((D118*(1-'5.Closing Stock &amp; W Capital'!$D$15))+(C118*'5.Closing Stock &amp; W Capital'!$D$15))*$C$187*E124</f>
        <v>0</v>
      </c>
      <c r="F187" s="89">
        <f>((E118*(1-'5.Closing Stock &amp; W Capital'!$D$15))+(D118*'5.Closing Stock &amp; W Capital'!$D$15))*$C$187*F124</f>
        <v>0</v>
      </c>
      <c r="G187" s="89">
        <f>((F118*(1-'5.Closing Stock &amp; W Capital'!$D$15))+(E118*'5.Closing Stock &amp; W Capital'!$D$15))*$C$187*G124</f>
        <v>0</v>
      </c>
      <c r="H187" s="89">
        <f>((G118*(1-'5.Closing Stock &amp; W Capital'!$D$15))+(F118*'5.Closing Stock &amp; W Capital'!$D$15))*$C$187*H124</f>
        <v>0</v>
      </c>
      <c r="I187" s="89">
        <f>((H118*(1-'5.Closing Stock &amp; W Capital'!$D$15))+(G118*'5.Closing Stock &amp; W Capital'!$D$15))*$C$187*I124</f>
        <v>0</v>
      </c>
      <c r="J187" s="89">
        <f>((I118*(1-'5.Closing Stock &amp; W Capital'!$D$15))+(H118*'5.Closing Stock &amp; W Capital'!$D$15))*$C$187*J124</f>
        <v>0</v>
      </c>
      <c r="K187" s="87"/>
      <c r="U187" s="200"/>
      <c r="V187" s="200"/>
      <c r="W187" s="200"/>
    </row>
    <row r="188" spans="1:23">
      <c r="A188" s="88" t="s">
        <v>189</v>
      </c>
      <c r="B188" s="88"/>
      <c r="C188" s="229">
        <v>2200</v>
      </c>
      <c r="D188" s="89">
        <f>(C119*(1-'5.Closing Stock &amp; W Capital'!$D$15))*$C$188*D124</f>
        <v>0</v>
      </c>
      <c r="E188" s="89">
        <f>((D119*(1-'5.Closing Stock &amp; W Capital'!$D$15))+(C119*'5.Closing Stock &amp; W Capital'!$D$15))*$C$188*E124</f>
        <v>0</v>
      </c>
      <c r="F188" s="89">
        <f>((E119*(1-'5.Closing Stock &amp; W Capital'!$D$15))+(D119*'5.Closing Stock &amp; W Capital'!$D$15))*$C$188*F124</f>
        <v>0</v>
      </c>
      <c r="G188" s="89">
        <f>((F119*(1-'5.Closing Stock &amp; W Capital'!$D$15))+(E119*'5.Closing Stock &amp; W Capital'!$D$15))*$C$188*G124</f>
        <v>0</v>
      </c>
      <c r="H188" s="89">
        <f>((G119*(1-'5.Closing Stock &amp; W Capital'!$D$15))+(F119*'5.Closing Stock &amp; W Capital'!$D$15))*$C$188*H124</f>
        <v>0</v>
      </c>
      <c r="I188" s="89">
        <f>((H119*(1-'5.Closing Stock &amp; W Capital'!$D$15))+(G119*'5.Closing Stock &amp; W Capital'!$D$15))*$C$188*I124</f>
        <v>0</v>
      </c>
      <c r="J188" s="89">
        <f>((I119*(1-'5.Closing Stock &amp; W Capital'!$D$15))+(H119*'5.Closing Stock &amp; W Capital'!$D$15))*$C$188*J124</f>
        <v>0</v>
      </c>
      <c r="K188" s="87"/>
      <c r="U188" s="87"/>
      <c r="V188" s="87"/>
      <c r="W188" s="87"/>
    </row>
    <row r="189" spans="1:23">
      <c r="A189" s="88"/>
      <c r="B189" s="88"/>
      <c r="C189" s="89"/>
      <c r="D189" s="89"/>
      <c r="E189" s="89"/>
      <c r="F189" s="89"/>
      <c r="G189" s="89"/>
      <c r="H189" s="89"/>
      <c r="I189" s="89"/>
      <c r="J189" s="89"/>
      <c r="K189" s="87"/>
      <c r="U189" s="87"/>
      <c r="V189" s="87"/>
      <c r="W189" s="87"/>
    </row>
    <row r="190" spans="1:23">
      <c r="A190" s="88"/>
      <c r="B190" s="88"/>
      <c r="C190" s="89"/>
      <c r="D190" s="89"/>
      <c r="E190" s="89"/>
      <c r="F190" s="89"/>
      <c r="G190" s="89"/>
      <c r="H190" s="89"/>
      <c r="I190" s="89"/>
      <c r="J190" s="89"/>
      <c r="K190" s="87"/>
      <c r="U190" s="87"/>
      <c r="V190" s="87"/>
      <c r="W190" s="87"/>
    </row>
    <row r="191" spans="1:23">
      <c r="A191" s="90" t="s">
        <v>144</v>
      </c>
      <c r="B191" s="90"/>
      <c r="C191" s="108"/>
      <c r="D191" s="108">
        <f t="shared" ref="D191:J191" si="54">SUM(D130:D188)</f>
        <v>0</v>
      </c>
      <c r="E191" s="108">
        <f t="shared" si="54"/>
        <v>0</v>
      </c>
      <c r="F191" s="108">
        <f t="shared" si="54"/>
        <v>0</v>
      </c>
      <c r="G191" s="108">
        <f t="shared" si="54"/>
        <v>0</v>
      </c>
      <c r="H191" s="108">
        <f t="shared" si="54"/>
        <v>0</v>
      </c>
      <c r="I191" s="108">
        <f t="shared" si="54"/>
        <v>0</v>
      </c>
      <c r="J191" s="108">
        <f t="shared" si="54"/>
        <v>0</v>
      </c>
      <c r="K191" s="87"/>
      <c r="U191" s="87"/>
      <c r="V191" s="87"/>
      <c r="W191" s="87"/>
    </row>
    <row r="192" spans="1:23">
      <c r="A192" s="88"/>
      <c r="B192" s="88"/>
      <c r="C192" s="89"/>
      <c r="D192" s="89"/>
      <c r="E192" s="89"/>
      <c r="F192" s="89"/>
      <c r="G192" s="89"/>
      <c r="H192" s="89"/>
      <c r="I192" s="89"/>
      <c r="J192" s="89"/>
      <c r="K192" s="87"/>
      <c r="U192" s="87"/>
      <c r="V192" s="87"/>
      <c r="W192" s="87"/>
    </row>
    <row r="193" spans="1:23">
      <c r="A193" s="88"/>
      <c r="B193" s="88"/>
      <c r="C193" s="89"/>
      <c r="D193" s="89"/>
      <c r="E193" s="89"/>
      <c r="F193" s="89"/>
      <c r="G193" s="89"/>
      <c r="H193" s="89"/>
      <c r="I193" s="89"/>
      <c r="J193" s="89"/>
      <c r="K193" s="87"/>
      <c r="U193" s="87"/>
      <c r="V193" s="87"/>
      <c r="W193" s="87"/>
    </row>
    <row r="194" spans="1:23">
      <c r="A194" s="90" t="s">
        <v>143</v>
      </c>
      <c r="B194" s="90"/>
      <c r="C194" s="89"/>
      <c r="D194" s="89"/>
      <c r="E194" s="89"/>
      <c r="F194" s="89"/>
      <c r="G194" s="89"/>
      <c r="H194" s="89"/>
      <c r="I194" s="89"/>
      <c r="J194" s="89"/>
      <c r="K194" s="87"/>
      <c r="U194" s="87"/>
      <c r="V194" s="87"/>
      <c r="W194" s="87"/>
    </row>
    <row r="195" spans="1:23">
      <c r="A195" s="90" t="str">
        <f>A128</f>
        <v>Seeds (Rate/KG)</v>
      </c>
      <c r="B195" s="90"/>
      <c r="C195" s="89"/>
      <c r="D195" s="89"/>
      <c r="E195" s="89"/>
      <c r="F195" s="89"/>
      <c r="G195" s="89"/>
      <c r="H195" s="89"/>
      <c r="I195" s="89"/>
      <c r="J195" s="89"/>
      <c r="K195" s="87"/>
      <c r="U195" s="87"/>
      <c r="V195" s="87"/>
      <c r="W195" s="87"/>
    </row>
    <row r="196" spans="1:23">
      <c r="A196" s="87" t="s">
        <v>316</v>
      </c>
      <c r="B196" s="87"/>
      <c r="C196" s="87"/>
      <c r="D196" s="87"/>
      <c r="E196" s="87"/>
      <c r="F196" s="87"/>
      <c r="G196" s="87"/>
      <c r="H196" s="87"/>
      <c r="I196" s="87"/>
      <c r="J196" s="87"/>
      <c r="K196" s="87"/>
      <c r="U196" s="87"/>
      <c r="V196" s="87"/>
      <c r="W196" s="87"/>
    </row>
    <row r="197" spans="1:23">
      <c r="A197" s="88" t="str">
        <f t="shared" ref="A197:A238" si="55">A130</f>
        <v>Soybean</v>
      </c>
      <c r="B197" s="87"/>
      <c r="C197" s="229">
        <v>85</v>
      </c>
      <c r="D197" s="89">
        <f t="shared" ref="D197:J206" si="56">C62*$C197*D$124</f>
        <v>0</v>
      </c>
      <c r="E197" s="89">
        <f t="shared" si="56"/>
        <v>0</v>
      </c>
      <c r="F197" s="89">
        <f t="shared" si="56"/>
        <v>0</v>
      </c>
      <c r="G197" s="89">
        <f t="shared" si="56"/>
        <v>0</v>
      </c>
      <c r="H197" s="89">
        <f t="shared" si="56"/>
        <v>0</v>
      </c>
      <c r="I197" s="89">
        <f t="shared" si="56"/>
        <v>0</v>
      </c>
      <c r="J197" s="89">
        <f t="shared" si="56"/>
        <v>0</v>
      </c>
      <c r="K197" s="87"/>
      <c r="U197" s="87"/>
      <c r="V197" s="87"/>
      <c r="W197" s="87"/>
    </row>
    <row r="198" spans="1:23">
      <c r="A198" s="88" t="str">
        <f t="shared" si="55"/>
        <v>Red Gram/Tur</v>
      </c>
      <c r="B198" s="88"/>
      <c r="C198" s="229">
        <v>75</v>
      </c>
      <c r="D198" s="89">
        <f t="shared" si="56"/>
        <v>0</v>
      </c>
      <c r="E198" s="89">
        <f t="shared" si="56"/>
        <v>0</v>
      </c>
      <c r="F198" s="89">
        <f t="shared" si="56"/>
        <v>0</v>
      </c>
      <c r="G198" s="89">
        <f t="shared" si="56"/>
        <v>0</v>
      </c>
      <c r="H198" s="89">
        <f t="shared" si="56"/>
        <v>0</v>
      </c>
      <c r="I198" s="89">
        <f t="shared" si="56"/>
        <v>0</v>
      </c>
      <c r="J198" s="89">
        <f t="shared" si="56"/>
        <v>0</v>
      </c>
      <c r="K198" s="87"/>
      <c r="U198" s="87"/>
      <c r="V198" s="87"/>
      <c r="W198" s="87"/>
    </row>
    <row r="199" spans="1:23">
      <c r="A199" s="88" t="str">
        <f t="shared" si="55"/>
        <v>Paddy/Rice</v>
      </c>
      <c r="B199" s="88"/>
      <c r="C199" s="229">
        <v>57</v>
      </c>
      <c r="D199" s="89">
        <f t="shared" si="56"/>
        <v>0</v>
      </c>
      <c r="E199" s="89">
        <f t="shared" si="56"/>
        <v>0</v>
      </c>
      <c r="F199" s="89">
        <f t="shared" si="56"/>
        <v>0</v>
      </c>
      <c r="G199" s="89">
        <f t="shared" si="56"/>
        <v>0</v>
      </c>
      <c r="H199" s="89">
        <f t="shared" si="56"/>
        <v>0</v>
      </c>
      <c r="I199" s="89">
        <f t="shared" si="56"/>
        <v>0</v>
      </c>
      <c r="J199" s="89">
        <f t="shared" si="56"/>
        <v>0</v>
      </c>
      <c r="K199" s="87"/>
      <c r="U199" s="87"/>
      <c r="V199" s="87"/>
      <c r="W199" s="87"/>
    </row>
    <row r="200" spans="1:23">
      <c r="A200" s="88" t="str">
        <f t="shared" si="55"/>
        <v>Green Gram/ Moong</v>
      </c>
      <c r="B200" s="88"/>
      <c r="C200" s="229">
        <v>80</v>
      </c>
      <c r="D200" s="89">
        <f t="shared" si="56"/>
        <v>0</v>
      </c>
      <c r="E200" s="89">
        <f t="shared" si="56"/>
        <v>0</v>
      </c>
      <c r="F200" s="89">
        <f t="shared" si="56"/>
        <v>0</v>
      </c>
      <c r="G200" s="89">
        <f t="shared" si="56"/>
        <v>0</v>
      </c>
      <c r="H200" s="89">
        <f t="shared" si="56"/>
        <v>0</v>
      </c>
      <c r="I200" s="89">
        <f t="shared" si="56"/>
        <v>0</v>
      </c>
      <c r="J200" s="89">
        <f t="shared" si="56"/>
        <v>0</v>
      </c>
      <c r="K200" s="87"/>
      <c r="L200" s="87"/>
      <c r="M200" s="87"/>
      <c r="N200" s="87"/>
      <c r="O200" s="87"/>
      <c r="P200" s="87"/>
      <c r="Q200" s="87"/>
      <c r="R200" s="87"/>
      <c r="S200" s="87"/>
      <c r="T200" s="87"/>
      <c r="U200" s="87"/>
      <c r="V200" s="87"/>
      <c r="W200" s="87"/>
    </row>
    <row r="201" spans="1:23">
      <c r="A201" s="88" t="str">
        <f t="shared" si="55"/>
        <v>Maize</v>
      </c>
      <c r="B201" s="88"/>
      <c r="C201" s="229">
        <v>25</v>
      </c>
      <c r="D201" s="89">
        <f t="shared" si="56"/>
        <v>0</v>
      </c>
      <c r="E201" s="89">
        <f t="shared" si="56"/>
        <v>0</v>
      </c>
      <c r="F201" s="89">
        <f t="shared" si="56"/>
        <v>0</v>
      </c>
      <c r="G201" s="89">
        <f t="shared" si="56"/>
        <v>0</v>
      </c>
      <c r="H201" s="89">
        <f t="shared" si="56"/>
        <v>0</v>
      </c>
      <c r="I201" s="89">
        <f t="shared" si="56"/>
        <v>0</v>
      </c>
      <c r="J201" s="89">
        <f t="shared" si="56"/>
        <v>0</v>
      </c>
      <c r="K201" s="87"/>
      <c r="L201" s="87"/>
      <c r="M201" s="87"/>
      <c r="N201" s="87"/>
      <c r="O201" s="87"/>
      <c r="P201" s="87"/>
      <c r="Q201" s="87"/>
      <c r="R201" s="87"/>
      <c r="S201" s="87"/>
      <c r="T201" s="87"/>
      <c r="U201" s="87"/>
      <c r="V201" s="87"/>
      <c r="W201" s="87"/>
    </row>
    <row r="202" spans="1:23">
      <c r="A202" s="88" t="str">
        <f t="shared" si="55"/>
        <v>Black Gram/Udid</v>
      </c>
      <c r="B202" s="88"/>
      <c r="C202" s="229">
        <v>70</v>
      </c>
      <c r="D202" s="89">
        <f t="shared" si="56"/>
        <v>0</v>
      </c>
      <c r="E202" s="89">
        <f t="shared" si="56"/>
        <v>0</v>
      </c>
      <c r="F202" s="89">
        <f t="shared" si="56"/>
        <v>0</v>
      </c>
      <c r="G202" s="89">
        <f t="shared" si="56"/>
        <v>0</v>
      </c>
      <c r="H202" s="89">
        <f t="shared" si="56"/>
        <v>0</v>
      </c>
      <c r="I202" s="89">
        <f t="shared" si="56"/>
        <v>0</v>
      </c>
      <c r="J202" s="89">
        <f t="shared" si="56"/>
        <v>0</v>
      </c>
      <c r="K202" s="87"/>
      <c r="L202" s="87"/>
      <c r="M202" s="87"/>
      <c r="N202" s="87"/>
      <c r="O202" s="87"/>
      <c r="P202" s="87"/>
      <c r="Q202" s="87"/>
      <c r="R202" s="87"/>
      <c r="S202" s="87"/>
      <c r="T202" s="87"/>
      <c r="U202" s="87"/>
      <c r="V202" s="87"/>
      <c r="W202" s="87"/>
    </row>
    <row r="203" spans="1:23">
      <c r="A203" s="88" t="str">
        <f t="shared" si="55"/>
        <v>Bajra</v>
      </c>
      <c r="B203" s="88"/>
      <c r="C203" s="229">
        <v>25</v>
      </c>
      <c r="D203" s="89">
        <f t="shared" si="56"/>
        <v>0</v>
      </c>
      <c r="E203" s="89">
        <f t="shared" si="56"/>
        <v>0</v>
      </c>
      <c r="F203" s="89">
        <f t="shared" si="56"/>
        <v>0</v>
      </c>
      <c r="G203" s="89">
        <f t="shared" si="56"/>
        <v>0</v>
      </c>
      <c r="H203" s="89">
        <f t="shared" si="56"/>
        <v>0</v>
      </c>
      <c r="I203" s="89">
        <f t="shared" si="56"/>
        <v>0</v>
      </c>
      <c r="J203" s="89">
        <f t="shared" si="56"/>
        <v>0</v>
      </c>
      <c r="K203" s="87"/>
      <c r="L203" s="87"/>
      <c r="M203" s="87"/>
      <c r="N203" s="87"/>
      <c r="O203" s="87"/>
      <c r="P203" s="87"/>
      <c r="Q203" s="87"/>
      <c r="R203" s="87"/>
      <c r="S203" s="87"/>
      <c r="T203" s="87"/>
      <c r="U203" s="87"/>
      <c r="V203" s="87"/>
      <c r="W203" s="87"/>
    </row>
    <row r="204" spans="1:23">
      <c r="A204" s="88" t="str">
        <f t="shared" si="55"/>
        <v>Bengal Gram/Channa</v>
      </c>
      <c r="B204" s="88"/>
      <c r="C204" s="229">
        <v>25</v>
      </c>
      <c r="D204" s="89">
        <f t="shared" si="56"/>
        <v>0</v>
      </c>
      <c r="E204" s="89">
        <f t="shared" si="56"/>
        <v>0</v>
      </c>
      <c r="F204" s="89">
        <f t="shared" si="56"/>
        <v>0</v>
      </c>
      <c r="G204" s="89">
        <f t="shared" si="56"/>
        <v>0</v>
      </c>
      <c r="H204" s="89">
        <f t="shared" si="56"/>
        <v>0</v>
      </c>
      <c r="I204" s="89">
        <f t="shared" si="56"/>
        <v>0</v>
      </c>
      <c r="J204" s="89">
        <f t="shared" si="56"/>
        <v>0</v>
      </c>
      <c r="K204" s="87"/>
      <c r="L204" s="87"/>
      <c r="M204" s="87"/>
      <c r="N204" s="87"/>
      <c r="O204" s="87"/>
      <c r="P204" s="87"/>
      <c r="Q204" s="87"/>
      <c r="R204" s="87"/>
      <c r="S204" s="87"/>
      <c r="T204" s="87"/>
      <c r="U204" s="87"/>
      <c r="V204" s="87"/>
      <c r="W204" s="87"/>
    </row>
    <row r="205" spans="1:23">
      <c r="A205" s="90" t="str">
        <f t="shared" si="55"/>
        <v>Rabi Crop</v>
      </c>
      <c r="B205" s="88"/>
      <c r="C205" s="229"/>
      <c r="D205" s="89">
        <f t="shared" si="56"/>
        <v>0</v>
      </c>
      <c r="E205" s="89">
        <f t="shared" si="56"/>
        <v>0</v>
      </c>
      <c r="F205" s="89">
        <f t="shared" si="56"/>
        <v>0</v>
      </c>
      <c r="G205" s="89">
        <f t="shared" si="56"/>
        <v>0</v>
      </c>
      <c r="H205" s="89">
        <f t="shared" si="56"/>
        <v>0</v>
      </c>
      <c r="I205" s="89">
        <f t="shared" si="56"/>
        <v>0</v>
      </c>
      <c r="J205" s="89">
        <f t="shared" si="56"/>
        <v>0</v>
      </c>
      <c r="K205" s="87"/>
      <c r="L205" s="87"/>
      <c r="M205" s="87"/>
      <c r="N205" s="87"/>
      <c r="O205" s="87"/>
      <c r="P205" s="87"/>
      <c r="Q205" s="87"/>
      <c r="R205" s="87"/>
      <c r="S205" s="87"/>
      <c r="T205" s="87"/>
      <c r="U205" s="87"/>
      <c r="V205" s="87"/>
      <c r="W205" s="87"/>
    </row>
    <row r="206" spans="1:23">
      <c r="A206" s="88" t="str">
        <f t="shared" si="55"/>
        <v>Wheat</v>
      </c>
      <c r="B206" s="88"/>
      <c r="C206" s="229">
        <v>35</v>
      </c>
      <c r="D206" s="89">
        <f t="shared" si="56"/>
        <v>0</v>
      </c>
      <c r="E206" s="89">
        <f t="shared" si="56"/>
        <v>0</v>
      </c>
      <c r="F206" s="89">
        <f t="shared" si="56"/>
        <v>0</v>
      </c>
      <c r="G206" s="89">
        <f t="shared" si="56"/>
        <v>0</v>
      </c>
      <c r="H206" s="89">
        <f t="shared" si="56"/>
        <v>0</v>
      </c>
      <c r="I206" s="89">
        <f t="shared" si="56"/>
        <v>0</v>
      </c>
      <c r="J206" s="89">
        <f t="shared" si="56"/>
        <v>0</v>
      </c>
      <c r="K206" s="87"/>
      <c r="L206" s="87"/>
      <c r="M206" s="87"/>
      <c r="N206" s="87"/>
      <c r="O206" s="87"/>
      <c r="P206" s="87"/>
      <c r="Q206" s="87"/>
      <c r="R206" s="87"/>
      <c r="S206" s="87"/>
      <c r="T206" s="87"/>
      <c r="U206" s="87"/>
      <c r="V206" s="87"/>
      <c r="W206" s="87"/>
    </row>
    <row r="207" spans="1:23">
      <c r="A207" s="88" t="str">
        <f t="shared" si="55"/>
        <v>Bengal Gram/Channa</v>
      </c>
      <c r="B207" s="88"/>
      <c r="C207" s="229">
        <v>70</v>
      </c>
      <c r="D207" s="89">
        <f t="shared" ref="D207:J216" si="57">C72*$C207*D$124</f>
        <v>0</v>
      </c>
      <c r="E207" s="89">
        <f t="shared" si="57"/>
        <v>0</v>
      </c>
      <c r="F207" s="89">
        <f t="shared" si="57"/>
        <v>0</v>
      </c>
      <c r="G207" s="89">
        <f t="shared" si="57"/>
        <v>0</v>
      </c>
      <c r="H207" s="89">
        <f t="shared" si="57"/>
        <v>0</v>
      </c>
      <c r="I207" s="89">
        <f t="shared" si="57"/>
        <v>0</v>
      </c>
      <c r="J207" s="89">
        <f t="shared" si="57"/>
        <v>0</v>
      </c>
      <c r="K207" s="87"/>
      <c r="L207" s="87"/>
      <c r="M207" s="87"/>
      <c r="N207" s="87"/>
      <c r="O207" s="87"/>
      <c r="P207" s="87"/>
      <c r="Q207" s="87"/>
      <c r="R207" s="87"/>
      <c r="S207" s="87"/>
      <c r="T207" s="87"/>
      <c r="U207" s="87"/>
      <c r="V207" s="87"/>
      <c r="W207" s="87"/>
    </row>
    <row r="208" spans="1:23">
      <c r="A208" s="88" t="str">
        <f t="shared" si="55"/>
        <v>Jawar</v>
      </c>
      <c r="B208" s="88"/>
      <c r="C208" s="229">
        <v>25</v>
      </c>
      <c r="D208" s="89">
        <f t="shared" si="57"/>
        <v>0</v>
      </c>
      <c r="E208" s="89">
        <f t="shared" si="57"/>
        <v>0</v>
      </c>
      <c r="F208" s="89">
        <f t="shared" si="57"/>
        <v>0</v>
      </c>
      <c r="G208" s="89">
        <f t="shared" si="57"/>
        <v>0</v>
      </c>
      <c r="H208" s="89">
        <f t="shared" si="57"/>
        <v>0</v>
      </c>
      <c r="I208" s="89">
        <f t="shared" si="57"/>
        <v>0</v>
      </c>
      <c r="J208" s="89">
        <f t="shared" si="57"/>
        <v>0</v>
      </c>
      <c r="K208" s="87"/>
      <c r="L208" s="87"/>
      <c r="M208" s="87"/>
      <c r="N208" s="87"/>
      <c r="O208" s="87"/>
      <c r="P208" s="87"/>
      <c r="Q208" s="87"/>
      <c r="R208" s="87"/>
      <c r="S208" s="87"/>
      <c r="T208" s="87"/>
      <c r="U208" s="87"/>
      <c r="V208" s="87"/>
      <c r="W208" s="87"/>
    </row>
    <row r="209" spans="1:23">
      <c r="A209" s="88" t="str">
        <f t="shared" si="55"/>
        <v>Maize</v>
      </c>
      <c r="B209" s="88"/>
      <c r="C209" s="229">
        <v>25</v>
      </c>
      <c r="D209" s="89">
        <f t="shared" si="57"/>
        <v>0</v>
      </c>
      <c r="E209" s="89">
        <f t="shared" si="57"/>
        <v>0</v>
      </c>
      <c r="F209" s="89">
        <f t="shared" si="57"/>
        <v>0</v>
      </c>
      <c r="G209" s="89">
        <f t="shared" si="57"/>
        <v>0</v>
      </c>
      <c r="H209" s="89">
        <f t="shared" si="57"/>
        <v>0</v>
      </c>
      <c r="I209" s="89">
        <f t="shared" si="57"/>
        <v>0</v>
      </c>
      <c r="J209" s="89">
        <f t="shared" si="57"/>
        <v>0</v>
      </c>
      <c r="K209" s="87"/>
      <c r="L209" s="87"/>
      <c r="M209" s="87"/>
      <c r="N209" s="87"/>
      <c r="O209" s="87"/>
      <c r="P209" s="87"/>
      <c r="Q209" s="87"/>
      <c r="R209" s="87"/>
      <c r="S209" s="87"/>
      <c r="T209" s="87"/>
      <c r="U209" s="87"/>
      <c r="V209" s="87"/>
      <c r="W209" s="87"/>
    </row>
    <row r="210" spans="1:23">
      <c r="A210" s="88" t="str">
        <f t="shared" si="55"/>
        <v>Safflower</v>
      </c>
      <c r="B210" s="88"/>
      <c r="C210" s="229">
        <v>25</v>
      </c>
      <c r="D210" s="89">
        <f t="shared" si="57"/>
        <v>0</v>
      </c>
      <c r="E210" s="89">
        <f t="shared" si="57"/>
        <v>0</v>
      </c>
      <c r="F210" s="89">
        <f t="shared" si="57"/>
        <v>0</v>
      </c>
      <c r="G210" s="89">
        <f t="shared" si="57"/>
        <v>0</v>
      </c>
      <c r="H210" s="89">
        <f t="shared" si="57"/>
        <v>0</v>
      </c>
      <c r="I210" s="89">
        <f t="shared" si="57"/>
        <v>0</v>
      </c>
      <c r="J210" s="89">
        <f t="shared" si="57"/>
        <v>0</v>
      </c>
      <c r="K210" s="87"/>
      <c r="L210" s="87"/>
      <c r="M210" s="87"/>
      <c r="N210" s="87"/>
      <c r="O210" s="87"/>
      <c r="P210" s="87"/>
      <c r="Q210" s="87"/>
      <c r="R210" s="87"/>
      <c r="S210" s="87"/>
      <c r="T210" s="87"/>
      <c r="U210" s="87"/>
      <c r="V210" s="87"/>
      <c r="W210" s="87"/>
    </row>
    <row r="211" spans="1:23">
      <c r="A211" s="88">
        <f t="shared" si="55"/>
        <v>0</v>
      </c>
      <c r="B211" s="88"/>
      <c r="C211" s="229"/>
      <c r="D211" s="89">
        <f t="shared" si="57"/>
        <v>0</v>
      </c>
      <c r="E211" s="89">
        <f t="shared" si="57"/>
        <v>0</v>
      </c>
      <c r="F211" s="89">
        <f t="shared" si="57"/>
        <v>0</v>
      </c>
      <c r="G211" s="89">
        <f t="shared" si="57"/>
        <v>0</v>
      </c>
      <c r="H211" s="89">
        <f t="shared" si="57"/>
        <v>0</v>
      </c>
      <c r="I211" s="89">
        <f t="shared" si="57"/>
        <v>0</v>
      </c>
      <c r="J211" s="89">
        <f t="shared" si="57"/>
        <v>0</v>
      </c>
      <c r="K211" s="87"/>
      <c r="L211" s="87"/>
      <c r="M211" s="87"/>
      <c r="N211" s="87"/>
      <c r="O211" s="87"/>
      <c r="P211" s="87"/>
      <c r="Q211" s="87"/>
      <c r="R211" s="87"/>
      <c r="S211" s="87"/>
      <c r="T211" s="87"/>
      <c r="U211" s="87"/>
      <c r="V211" s="87"/>
      <c r="W211" s="87"/>
    </row>
    <row r="212" spans="1:23">
      <c r="A212" s="88">
        <f t="shared" si="55"/>
        <v>0</v>
      </c>
      <c r="B212" s="88"/>
      <c r="C212" s="229"/>
      <c r="D212" s="89">
        <f t="shared" si="57"/>
        <v>0</v>
      </c>
      <c r="E212" s="89">
        <f t="shared" si="57"/>
        <v>0</v>
      </c>
      <c r="F212" s="89">
        <f t="shared" si="57"/>
        <v>0</v>
      </c>
      <c r="G212" s="89">
        <f t="shared" si="57"/>
        <v>0</v>
      </c>
      <c r="H212" s="89">
        <f t="shared" si="57"/>
        <v>0</v>
      </c>
      <c r="I212" s="89">
        <f t="shared" si="57"/>
        <v>0</v>
      </c>
      <c r="J212" s="89">
        <f t="shared" si="57"/>
        <v>0</v>
      </c>
      <c r="K212" s="87"/>
      <c r="L212" s="87"/>
      <c r="M212" s="87"/>
      <c r="N212" s="87"/>
      <c r="O212" s="87"/>
      <c r="P212" s="87"/>
      <c r="Q212" s="87"/>
      <c r="R212" s="87"/>
      <c r="S212" s="87"/>
      <c r="T212" s="87"/>
      <c r="U212" s="87"/>
      <c r="V212" s="87"/>
      <c r="W212" s="87"/>
    </row>
    <row r="213" spans="1:23">
      <c r="A213" s="88">
        <f t="shared" si="55"/>
        <v>0</v>
      </c>
      <c r="B213" s="88"/>
      <c r="C213" s="229"/>
      <c r="D213" s="89">
        <f t="shared" si="57"/>
        <v>0</v>
      </c>
      <c r="E213" s="89">
        <f t="shared" si="57"/>
        <v>0</v>
      </c>
      <c r="F213" s="89">
        <f t="shared" si="57"/>
        <v>0</v>
      </c>
      <c r="G213" s="89">
        <f t="shared" si="57"/>
        <v>0</v>
      </c>
      <c r="H213" s="89">
        <f t="shared" si="57"/>
        <v>0</v>
      </c>
      <c r="I213" s="89">
        <f t="shared" si="57"/>
        <v>0</v>
      </c>
      <c r="J213" s="89">
        <f t="shared" si="57"/>
        <v>0</v>
      </c>
      <c r="K213" s="87"/>
      <c r="L213" s="87"/>
      <c r="M213" s="87"/>
      <c r="N213" s="87"/>
      <c r="O213" s="87"/>
      <c r="P213" s="87"/>
      <c r="Q213" s="87"/>
      <c r="R213" s="87"/>
      <c r="S213" s="87"/>
      <c r="T213" s="87"/>
      <c r="U213" s="87"/>
      <c r="V213" s="87"/>
      <c r="W213" s="87"/>
    </row>
    <row r="214" spans="1:23">
      <c r="A214" s="88" t="str">
        <f t="shared" si="55"/>
        <v>Summer</v>
      </c>
      <c r="B214" s="88"/>
      <c r="C214" s="229"/>
      <c r="D214" s="89">
        <f t="shared" si="57"/>
        <v>0</v>
      </c>
      <c r="E214" s="89">
        <f t="shared" si="57"/>
        <v>0</v>
      </c>
      <c r="F214" s="89">
        <f t="shared" si="57"/>
        <v>0</v>
      </c>
      <c r="G214" s="89">
        <f t="shared" si="57"/>
        <v>0</v>
      </c>
      <c r="H214" s="89">
        <f t="shared" si="57"/>
        <v>0</v>
      </c>
      <c r="I214" s="89">
        <f t="shared" si="57"/>
        <v>0</v>
      </c>
      <c r="J214" s="89">
        <f t="shared" si="57"/>
        <v>0</v>
      </c>
      <c r="K214" s="87"/>
      <c r="L214" s="87"/>
      <c r="M214" s="87"/>
      <c r="N214" s="87"/>
      <c r="O214" s="87"/>
      <c r="P214" s="87"/>
      <c r="Q214" s="87"/>
      <c r="R214" s="87"/>
      <c r="S214" s="87"/>
      <c r="T214" s="87"/>
      <c r="U214" s="87"/>
      <c r="V214" s="87"/>
      <c r="W214" s="87"/>
    </row>
    <row r="215" spans="1:23">
      <c r="A215" s="88" t="str">
        <f t="shared" si="55"/>
        <v>Groundnut</v>
      </c>
      <c r="B215" s="88"/>
      <c r="C215" s="229"/>
      <c r="D215" s="89">
        <f t="shared" si="57"/>
        <v>0</v>
      </c>
      <c r="E215" s="89">
        <f t="shared" si="57"/>
        <v>0</v>
      </c>
      <c r="F215" s="89">
        <f t="shared" si="57"/>
        <v>0</v>
      </c>
      <c r="G215" s="89">
        <f t="shared" si="57"/>
        <v>0</v>
      </c>
      <c r="H215" s="89">
        <f t="shared" si="57"/>
        <v>0</v>
      </c>
      <c r="I215" s="89">
        <f t="shared" si="57"/>
        <v>0</v>
      </c>
      <c r="J215" s="89">
        <f t="shared" si="57"/>
        <v>0</v>
      </c>
      <c r="K215" s="87"/>
      <c r="L215" s="87"/>
      <c r="M215" s="87"/>
      <c r="N215" s="87"/>
      <c r="O215" s="87"/>
      <c r="P215" s="87"/>
      <c r="Q215" s="87"/>
      <c r="R215" s="87"/>
      <c r="S215" s="87"/>
      <c r="T215" s="87"/>
      <c r="U215" s="87"/>
      <c r="V215" s="87"/>
      <c r="W215" s="87"/>
    </row>
    <row r="216" spans="1:23">
      <c r="A216" s="88" t="str">
        <f t="shared" si="55"/>
        <v>Bengal Gram/Channa</v>
      </c>
      <c r="B216" s="88"/>
      <c r="C216" s="229"/>
      <c r="D216" s="89">
        <f t="shared" si="57"/>
        <v>0</v>
      </c>
      <c r="E216" s="89">
        <f t="shared" si="57"/>
        <v>0</v>
      </c>
      <c r="F216" s="89">
        <f t="shared" si="57"/>
        <v>0</v>
      </c>
      <c r="G216" s="89">
        <f t="shared" si="57"/>
        <v>0</v>
      </c>
      <c r="H216" s="89">
        <f t="shared" si="57"/>
        <v>0</v>
      </c>
      <c r="I216" s="89">
        <f t="shared" si="57"/>
        <v>0</v>
      </c>
      <c r="J216" s="89">
        <f t="shared" si="57"/>
        <v>0</v>
      </c>
      <c r="K216" s="87"/>
      <c r="L216" s="87"/>
      <c r="M216" s="87"/>
      <c r="N216" s="87"/>
      <c r="O216" s="87"/>
      <c r="P216" s="87"/>
      <c r="Q216" s="87"/>
      <c r="R216" s="87"/>
      <c r="S216" s="87"/>
      <c r="T216" s="87"/>
      <c r="U216" s="87"/>
      <c r="V216" s="87"/>
      <c r="W216" s="87"/>
    </row>
    <row r="217" spans="1:23">
      <c r="A217" s="88">
        <f t="shared" si="55"/>
        <v>0</v>
      </c>
      <c r="B217" s="88"/>
      <c r="C217" s="229"/>
      <c r="D217" s="89">
        <f t="shared" ref="D217:J219" si="58">C82*$C217*D$124</f>
        <v>0</v>
      </c>
      <c r="E217" s="89">
        <f t="shared" si="58"/>
        <v>0</v>
      </c>
      <c r="F217" s="89">
        <f t="shared" si="58"/>
        <v>0</v>
      </c>
      <c r="G217" s="89">
        <f t="shared" si="58"/>
        <v>0</v>
      </c>
      <c r="H217" s="89">
        <f t="shared" si="58"/>
        <v>0</v>
      </c>
      <c r="I217" s="89">
        <f t="shared" si="58"/>
        <v>0</v>
      </c>
      <c r="J217" s="89">
        <f t="shared" si="58"/>
        <v>0</v>
      </c>
      <c r="K217" s="87"/>
      <c r="L217" s="87"/>
      <c r="M217" s="87"/>
      <c r="N217" s="87"/>
      <c r="O217" s="87"/>
      <c r="P217" s="87"/>
      <c r="Q217" s="87"/>
      <c r="R217" s="87"/>
      <c r="S217" s="87"/>
      <c r="T217" s="87"/>
      <c r="U217" s="87"/>
      <c r="V217" s="87"/>
      <c r="W217" s="87"/>
    </row>
    <row r="218" spans="1:23">
      <c r="A218" s="88">
        <f t="shared" si="55"/>
        <v>0</v>
      </c>
      <c r="B218" s="88"/>
      <c r="C218" s="229"/>
      <c r="D218" s="89">
        <f t="shared" si="58"/>
        <v>0</v>
      </c>
      <c r="E218" s="89">
        <f t="shared" si="58"/>
        <v>0</v>
      </c>
      <c r="F218" s="89">
        <f t="shared" si="58"/>
        <v>0</v>
      </c>
      <c r="G218" s="89">
        <f t="shared" si="58"/>
        <v>0</v>
      </c>
      <c r="H218" s="89">
        <f t="shared" si="58"/>
        <v>0</v>
      </c>
      <c r="I218" s="89">
        <f t="shared" si="58"/>
        <v>0</v>
      </c>
      <c r="J218" s="89">
        <f t="shared" si="58"/>
        <v>0</v>
      </c>
      <c r="K218" s="87"/>
      <c r="L218" s="87"/>
      <c r="M218" s="87"/>
      <c r="N218" s="87"/>
      <c r="O218" s="87"/>
      <c r="P218" s="87"/>
      <c r="Q218" s="87"/>
      <c r="R218" s="87"/>
      <c r="S218" s="87"/>
      <c r="T218" s="87"/>
      <c r="U218" s="87"/>
      <c r="V218" s="87"/>
      <c r="W218" s="87"/>
    </row>
    <row r="219" spans="1:23">
      <c r="A219" s="88">
        <f t="shared" si="55"/>
        <v>0</v>
      </c>
      <c r="B219" s="88"/>
      <c r="C219" s="229"/>
      <c r="D219" s="89">
        <f t="shared" si="58"/>
        <v>0</v>
      </c>
      <c r="E219" s="89">
        <f t="shared" si="58"/>
        <v>0</v>
      </c>
      <c r="F219" s="89">
        <f t="shared" si="58"/>
        <v>0</v>
      </c>
      <c r="G219" s="89">
        <f t="shared" si="58"/>
        <v>0</v>
      </c>
      <c r="H219" s="89">
        <f t="shared" si="58"/>
        <v>0</v>
      </c>
      <c r="I219" s="89">
        <f t="shared" si="58"/>
        <v>0</v>
      </c>
      <c r="J219" s="89">
        <f t="shared" si="58"/>
        <v>0</v>
      </c>
      <c r="K219" s="87"/>
      <c r="L219" s="87"/>
      <c r="M219" s="87"/>
      <c r="N219" s="87"/>
      <c r="O219" s="87"/>
      <c r="P219" s="87"/>
      <c r="Q219" s="87"/>
      <c r="R219" s="87"/>
      <c r="S219" s="87"/>
      <c r="T219" s="87"/>
      <c r="U219" s="87"/>
      <c r="V219" s="87"/>
      <c r="W219" s="87"/>
    </row>
    <row r="220" spans="1:23">
      <c r="A220" s="88" t="str">
        <f t="shared" si="55"/>
        <v>Fruit  &amp; Vegetables Crop Production Details</v>
      </c>
      <c r="B220" s="88"/>
      <c r="C220" s="89"/>
      <c r="D220" s="89"/>
      <c r="E220" s="89"/>
      <c r="F220" s="89"/>
      <c r="G220" s="89"/>
      <c r="H220" s="89"/>
      <c r="I220" s="89"/>
      <c r="J220" s="89"/>
      <c r="K220" s="87"/>
      <c r="L220" s="87"/>
      <c r="M220" s="87"/>
      <c r="N220" s="87"/>
      <c r="O220" s="87"/>
      <c r="P220" s="87"/>
      <c r="Q220" s="87"/>
      <c r="R220" s="87"/>
      <c r="S220" s="87"/>
      <c r="T220" s="87"/>
      <c r="U220" s="87"/>
      <c r="V220" s="87"/>
      <c r="W220" s="87"/>
    </row>
    <row r="221" spans="1:23">
      <c r="A221" s="88" t="str">
        <f t="shared" si="55"/>
        <v>Onion</v>
      </c>
      <c r="B221" s="88"/>
      <c r="C221" s="229"/>
      <c r="D221" s="89">
        <f t="shared" ref="D221:J230" si="59">C86*$C221*D$124</f>
        <v>0</v>
      </c>
      <c r="E221" s="89">
        <f t="shared" si="59"/>
        <v>0</v>
      </c>
      <c r="F221" s="89">
        <f t="shared" si="59"/>
        <v>0</v>
      </c>
      <c r="G221" s="89">
        <f t="shared" si="59"/>
        <v>0</v>
      </c>
      <c r="H221" s="89">
        <f t="shared" si="59"/>
        <v>0</v>
      </c>
      <c r="I221" s="89">
        <f t="shared" si="59"/>
        <v>0</v>
      </c>
      <c r="J221" s="89">
        <f t="shared" si="59"/>
        <v>0</v>
      </c>
      <c r="K221" s="87"/>
      <c r="L221" s="87"/>
      <c r="M221" s="87"/>
      <c r="N221" s="87"/>
      <c r="O221" s="87"/>
      <c r="P221" s="87"/>
      <c r="Q221" s="87"/>
      <c r="R221" s="87"/>
      <c r="S221" s="87"/>
      <c r="T221" s="87"/>
      <c r="U221" s="87"/>
      <c r="V221" s="87"/>
      <c r="W221" s="87"/>
    </row>
    <row r="222" spans="1:23">
      <c r="A222" s="88" t="str">
        <f t="shared" si="55"/>
        <v>Tomato</v>
      </c>
      <c r="B222" s="88"/>
      <c r="C222" s="229"/>
      <c r="D222" s="89">
        <f t="shared" si="59"/>
        <v>0</v>
      </c>
      <c r="E222" s="89">
        <f t="shared" si="59"/>
        <v>0</v>
      </c>
      <c r="F222" s="89">
        <f t="shared" si="59"/>
        <v>0</v>
      </c>
      <c r="G222" s="89">
        <f t="shared" si="59"/>
        <v>0</v>
      </c>
      <c r="H222" s="89">
        <f t="shared" si="59"/>
        <v>0</v>
      </c>
      <c r="I222" s="89">
        <f t="shared" si="59"/>
        <v>0</v>
      </c>
      <c r="J222" s="89">
        <f t="shared" si="59"/>
        <v>0</v>
      </c>
      <c r="K222" s="87"/>
      <c r="L222" s="87"/>
      <c r="M222" s="87"/>
      <c r="N222" s="87"/>
      <c r="O222" s="87"/>
      <c r="P222" s="87"/>
      <c r="Q222" s="87"/>
      <c r="R222" s="87"/>
      <c r="S222" s="87"/>
      <c r="T222" s="87"/>
      <c r="U222" s="87"/>
      <c r="V222" s="87"/>
      <c r="W222" s="87"/>
    </row>
    <row r="223" spans="1:23">
      <c r="A223" s="88" t="str">
        <f t="shared" si="55"/>
        <v>Okra</v>
      </c>
      <c r="B223" s="88"/>
      <c r="C223" s="229"/>
      <c r="D223" s="89">
        <f t="shared" si="59"/>
        <v>0</v>
      </c>
      <c r="E223" s="89">
        <f t="shared" si="59"/>
        <v>0</v>
      </c>
      <c r="F223" s="89">
        <f t="shared" si="59"/>
        <v>0</v>
      </c>
      <c r="G223" s="89">
        <f t="shared" si="59"/>
        <v>0</v>
      </c>
      <c r="H223" s="89">
        <f t="shared" si="59"/>
        <v>0</v>
      </c>
      <c r="I223" s="89">
        <f t="shared" si="59"/>
        <v>0</v>
      </c>
      <c r="J223" s="89">
        <f t="shared" si="59"/>
        <v>0</v>
      </c>
      <c r="K223" s="87"/>
      <c r="L223" s="87"/>
      <c r="M223" s="87"/>
      <c r="N223" s="87"/>
      <c r="O223" s="87"/>
      <c r="P223" s="87"/>
      <c r="Q223" s="87"/>
      <c r="R223" s="87"/>
      <c r="S223" s="87"/>
      <c r="T223" s="87"/>
      <c r="U223" s="87"/>
      <c r="V223" s="87"/>
      <c r="W223" s="87"/>
    </row>
    <row r="224" spans="1:23">
      <c r="A224" s="88" t="str">
        <f t="shared" si="55"/>
        <v>Chilli</v>
      </c>
      <c r="B224" s="88"/>
      <c r="C224" s="229"/>
      <c r="D224" s="89">
        <f t="shared" si="59"/>
        <v>0</v>
      </c>
      <c r="E224" s="89">
        <f t="shared" si="59"/>
        <v>0</v>
      </c>
      <c r="F224" s="89">
        <f t="shared" si="59"/>
        <v>0</v>
      </c>
      <c r="G224" s="89">
        <f t="shared" si="59"/>
        <v>0</v>
      </c>
      <c r="H224" s="89">
        <f t="shared" si="59"/>
        <v>0</v>
      </c>
      <c r="I224" s="89">
        <f t="shared" si="59"/>
        <v>0</v>
      </c>
      <c r="J224" s="89">
        <f t="shared" si="59"/>
        <v>0</v>
      </c>
      <c r="K224" s="87"/>
      <c r="L224" s="87"/>
      <c r="M224" s="87"/>
      <c r="N224" s="87"/>
      <c r="O224" s="87"/>
      <c r="P224" s="87"/>
      <c r="Q224" s="87"/>
      <c r="R224" s="87"/>
      <c r="S224" s="87"/>
      <c r="T224" s="87"/>
      <c r="U224" s="87"/>
      <c r="V224" s="87"/>
      <c r="W224" s="87"/>
    </row>
    <row r="225" spans="1:23">
      <c r="A225" s="88" t="str">
        <f t="shared" si="55"/>
        <v>Potato</v>
      </c>
      <c r="B225" s="88"/>
      <c r="C225" s="229"/>
      <c r="D225" s="89">
        <f t="shared" si="59"/>
        <v>0</v>
      </c>
      <c r="E225" s="89">
        <f t="shared" si="59"/>
        <v>0</v>
      </c>
      <c r="F225" s="89">
        <f t="shared" si="59"/>
        <v>0</v>
      </c>
      <c r="G225" s="89">
        <f t="shared" si="59"/>
        <v>0</v>
      </c>
      <c r="H225" s="89">
        <f t="shared" si="59"/>
        <v>0</v>
      </c>
      <c r="I225" s="89">
        <f t="shared" si="59"/>
        <v>0</v>
      </c>
      <c r="J225" s="89">
        <f t="shared" si="59"/>
        <v>0</v>
      </c>
      <c r="K225" s="87"/>
      <c r="L225" s="87"/>
      <c r="M225" s="87"/>
      <c r="N225" s="87"/>
      <c r="O225" s="87"/>
      <c r="P225" s="87"/>
      <c r="Q225" s="87"/>
      <c r="R225" s="87"/>
      <c r="S225" s="87"/>
      <c r="T225" s="87"/>
      <c r="U225" s="87"/>
      <c r="V225" s="87"/>
      <c r="W225" s="87"/>
    </row>
    <row r="226" spans="1:23">
      <c r="A226" s="88">
        <f t="shared" si="55"/>
        <v>0</v>
      </c>
      <c r="B226" s="88"/>
      <c r="C226" s="229"/>
      <c r="D226" s="89">
        <f t="shared" si="59"/>
        <v>0</v>
      </c>
      <c r="E226" s="89">
        <f t="shared" si="59"/>
        <v>0</v>
      </c>
      <c r="F226" s="89">
        <f t="shared" si="59"/>
        <v>0</v>
      </c>
      <c r="G226" s="89">
        <f t="shared" si="59"/>
        <v>0</v>
      </c>
      <c r="H226" s="89">
        <f t="shared" si="59"/>
        <v>0</v>
      </c>
      <c r="I226" s="89">
        <f t="shared" si="59"/>
        <v>0</v>
      </c>
      <c r="J226" s="89">
        <f t="shared" si="59"/>
        <v>0</v>
      </c>
      <c r="K226" s="87"/>
      <c r="L226" s="87"/>
      <c r="M226" s="87"/>
      <c r="N226" s="87"/>
      <c r="O226" s="87"/>
      <c r="P226" s="87"/>
      <c r="Q226" s="87"/>
      <c r="R226" s="87"/>
      <c r="S226" s="87"/>
      <c r="T226" s="87"/>
      <c r="U226" s="87"/>
      <c r="V226" s="87"/>
      <c r="W226" s="87"/>
    </row>
    <row r="227" spans="1:23">
      <c r="A227" s="88">
        <f t="shared" si="55"/>
        <v>0</v>
      </c>
      <c r="B227" s="88"/>
      <c r="C227" s="229"/>
      <c r="D227" s="89">
        <f t="shared" si="59"/>
        <v>0</v>
      </c>
      <c r="E227" s="89">
        <f t="shared" si="59"/>
        <v>0</v>
      </c>
      <c r="F227" s="89">
        <f t="shared" si="59"/>
        <v>0</v>
      </c>
      <c r="G227" s="89">
        <f t="shared" si="59"/>
        <v>0</v>
      </c>
      <c r="H227" s="89">
        <f t="shared" si="59"/>
        <v>0</v>
      </c>
      <c r="I227" s="89">
        <f t="shared" si="59"/>
        <v>0</v>
      </c>
      <c r="J227" s="89">
        <f t="shared" si="59"/>
        <v>0</v>
      </c>
      <c r="K227" s="87"/>
      <c r="L227" s="87"/>
      <c r="M227" s="87"/>
      <c r="N227" s="87"/>
      <c r="O227" s="87"/>
      <c r="P227" s="87"/>
      <c r="Q227" s="87"/>
      <c r="R227" s="87"/>
      <c r="S227" s="87"/>
      <c r="T227" s="87"/>
      <c r="U227" s="87"/>
      <c r="V227" s="87"/>
      <c r="W227" s="87"/>
    </row>
    <row r="228" spans="1:23">
      <c r="A228" s="88">
        <f t="shared" si="55"/>
        <v>0</v>
      </c>
      <c r="B228" s="88"/>
      <c r="C228" s="229"/>
      <c r="D228" s="89">
        <f t="shared" si="59"/>
        <v>0</v>
      </c>
      <c r="E228" s="89">
        <f t="shared" si="59"/>
        <v>0</v>
      </c>
      <c r="F228" s="89">
        <f t="shared" si="59"/>
        <v>0</v>
      </c>
      <c r="G228" s="89">
        <f t="shared" si="59"/>
        <v>0</v>
      </c>
      <c r="H228" s="89">
        <f t="shared" si="59"/>
        <v>0</v>
      </c>
      <c r="I228" s="89">
        <f t="shared" si="59"/>
        <v>0</v>
      </c>
      <c r="J228" s="89">
        <f t="shared" si="59"/>
        <v>0</v>
      </c>
      <c r="K228" s="87"/>
      <c r="L228" s="87"/>
      <c r="M228" s="87"/>
      <c r="N228" s="87"/>
      <c r="O228" s="87"/>
      <c r="P228" s="87"/>
      <c r="Q228" s="87"/>
      <c r="R228" s="87"/>
      <c r="S228" s="87"/>
      <c r="T228" s="87"/>
      <c r="U228" s="87"/>
      <c r="V228" s="87"/>
      <c r="W228" s="87"/>
    </row>
    <row r="229" spans="1:23">
      <c r="A229" s="88">
        <f t="shared" si="55"/>
        <v>0</v>
      </c>
      <c r="B229" s="88"/>
      <c r="C229" s="229"/>
      <c r="D229" s="89">
        <f t="shared" si="59"/>
        <v>0</v>
      </c>
      <c r="E229" s="89">
        <f t="shared" si="59"/>
        <v>0</v>
      </c>
      <c r="F229" s="89">
        <f t="shared" si="59"/>
        <v>0</v>
      </c>
      <c r="G229" s="89">
        <f t="shared" si="59"/>
        <v>0</v>
      </c>
      <c r="H229" s="89">
        <f t="shared" si="59"/>
        <v>0</v>
      </c>
      <c r="I229" s="89">
        <f t="shared" si="59"/>
        <v>0</v>
      </c>
      <c r="J229" s="89">
        <f t="shared" si="59"/>
        <v>0</v>
      </c>
      <c r="K229" s="87"/>
      <c r="L229" s="87"/>
      <c r="M229" s="87"/>
      <c r="N229" s="87"/>
      <c r="O229" s="87"/>
      <c r="P229" s="87"/>
      <c r="Q229" s="87"/>
      <c r="R229" s="87"/>
      <c r="S229" s="87"/>
      <c r="T229" s="87"/>
      <c r="U229" s="87"/>
      <c r="V229" s="87"/>
      <c r="W229" s="87"/>
    </row>
    <row r="230" spans="1:23">
      <c r="A230" s="88" t="str">
        <f t="shared" si="55"/>
        <v>Onion</v>
      </c>
      <c r="B230" s="88"/>
      <c r="C230" s="229"/>
      <c r="D230" s="89">
        <f t="shared" si="59"/>
        <v>0</v>
      </c>
      <c r="E230" s="89">
        <f t="shared" si="59"/>
        <v>0</v>
      </c>
      <c r="F230" s="89">
        <f t="shared" si="59"/>
        <v>0</v>
      </c>
      <c r="G230" s="89">
        <f t="shared" si="59"/>
        <v>0</v>
      </c>
      <c r="H230" s="89">
        <f t="shared" si="59"/>
        <v>0</v>
      </c>
      <c r="I230" s="89">
        <f t="shared" si="59"/>
        <v>0</v>
      </c>
      <c r="J230" s="89">
        <f t="shared" si="59"/>
        <v>0</v>
      </c>
      <c r="K230" s="87"/>
      <c r="L230" s="87"/>
      <c r="M230" s="87"/>
      <c r="N230" s="87"/>
      <c r="O230" s="87"/>
      <c r="P230" s="87"/>
      <c r="Q230" s="87"/>
      <c r="R230" s="87"/>
      <c r="S230" s="87"/>
      <c r="T230" s="87"/>
      <c r="U230" s="87"/>
      <c r="V230" s="87"/>
      <c r="W230" s="87"/>
    </row>
    <row r="231" spans="1:23">
      <c r="A231" s="88" t="str">
        <f t="shared" si="55"/>
        <v>Tomato</v>
      </c>
      <c r="B231" s="88"/>
      <c r="C231" s="229"/>
      <c r="D231" s="89">
        <f t="shared" ref="D231:J238" si="60">C96*$C231*D$124</f>
        <v>0</v>
      </c>
      <c r="E231" s="89">
        <f t="shared" si="60"/>
        <v>0</v>
      </c>
      <c r="F231" s="89">
        <f t="shared" si="60"/>
        <v>0</v>
      </c>
      <c r="G231" s="89">
        <f t="shared" si="60"/>
        <v>0</v>
      </c>
      <c r="H231" s="89">
        <f t="shared" si="60"/>
        <v>0</v>
      </c>
      <c r="I231" s="89">
        <f t="shared" si="60"/>
        <v>0</v>
      </c>
      <c r="J231" s="89">
        <f t="shared" si="60"/>
        <v>0</v>
      </c>
      <c r="K231" s="87"/>
      <c r="L231" s="87"/>
      <c r="M231" s="87"/>
      <c r="N231" s="87"/>
      <c r="O231" s="87"/>
      <c r="P231" s="87"/>
      <c r="Q231" s="87"/>
      <c r="R231" s="87"/>
      <c r="S231" s="87"/>
      <c r="T231" s="87"/>
      <c r="U231" s="87"/>
      <c r="V231" s="87"/>
      <c r="W231" s="87"/>
    </row>
    <row r="232" spans="1:23">
      <c r="A232" s="88" t="str">
        <f t="shared" si="55"/>
        <v>Okra</v>
      </c>
      <c r="B232" s="88"/>
      <c r="C232" s="229"/>
      <c r="D232" s="89">
        <f t="shared" si="60"/>
        <v>0</v>
      </c>
      <c r="E232" s="89">
        <f t="shared" si="60"/>
        <v>0</v>
      </c>
      <c r="F232" s="89">
        <f t="shared" si="60"/>
        <v>0</v>
      </c>
      <c r="G232" s="89">
        <f t="shared" si="60"/>
        <v>0</v>
      </c>
      <c r="H232" s="89">
        <f t="shared" si="60"/>
        <v>0</v>
      </c>
      <c r="I232" s="89">
        <f t="shared" si="60"/>
        <v>0</v>
      </c>
      <c r="J232" s="89">
        <f t="shared" si="60"/>
        <v>0</v>
      </c>
      <c r="K232" s="87"/>
      <c r="L232" s="87"/>
      <c r="M232" s="87"/>
      <c r="N232" s="87"/>
      <c r="O232" s="87"/>
      <c r="P232" s="87"/>
      <c r="Q232" s="87"/>
      <c r="R232" s="87"/>
      <c r="S232" s="87"/>
      <c r="T232" s="87"/>
      <c r="U232" s="87"/>
      <c r="V232" s="87"/>
      <c r="W232" s="87"/>
    </row>
    <row r="233" spans="1:23">
      <c r="A233" s="88" t="str">
        <f t="shared" si="55"/>
        <v>Chilli</v>
      </c>
      <c r="B233" s="88"/>
      <c r="C233" s="229"/>
      <c r="D233" s="89">
        <f t="shared" si="60"/>
        <v>0</v>
      </c>
      <c r="E233" s="89">
        <f t="shared" si="60"/>
        <v>0</v>
      </c>
      <c r="F233" s="89">
        <f t="shared" si="60"/>
        <v>0</v>
      </c>
      <c r="G233" s="89">
        <f t="shared" si="60"/>
        <v>0</v>
      </c>
      <c r="H233" s="89">
        <f t="shared" si="60"/>
        <v>0</v>
      </c>
      <c r="I233" s="89">
        <f t="shared" si="60"/>
        <v>0</v>
      </c>
      <c r="J233" s="89">
        <f t="shared" si="60"/>
        <v>0</v>
      </c>
      <c r="K233" s="87"/>
      <c r="L233" s="87"/>
      <c r="M233" s="87"/>
      <c r="N233" s="87"/>
      <c r="O233" s="87"/>
      <c r="P233" s="87"/>
      <c r="Q233" s="87"/>
      <c r="R233" s="87"/>
      <c r="S233" s="87"/>
      <c r="T233" s="87"/>
      <c r="U233" s="87"/>
      <c r="V233" s="87"/>
      <c r="W233" s="87"/>
    </row>
    <row r="234" spans="1:23">
      <c r="A234" s="88" t="str">
        <f t="shared" si="55"/>
        <v>Brinjal</v>
      </c>
      <c r="B234" s="88"/>
      <c r="C234" s="229"/>
      <c r="D234" s="89">
        <f t="shared" si="60"/>
        <v>0</v>
      </c>
      <c r="E234" s="89">
        <f t="shared" si="60"/>
        <v>0</v>
      </c>
      <c r="F234" s="89">
        <f t="shared" si="60"/>
        <v>0</v>
      </c>
      <c r="G234" s="89">
        <f t="shared" si="60"/>
        <v>0</v>
      </c>
      <c r="H234" s="89">
        <f t="shared" si="60"/>
        <v>0</v>
      </c>
      <c r="I234" s="89">
        <f t="shared" si="60"/>
        <v>0</v>
      </c>
      <c r="J234" s="89">
        <f t="shared" si="60"/>
        <v>0</v>
      </c>
      <c r="K234" s="87"/>
      <c r="L234" s="87"/>
      <c r="M234" s="87"/>
      <c r="N234" s="87"/>
      <c r="O234" s="87"/>
      <c r="P234" s="87"/>
      <c r="Q234" s="87"/>
      <c r="R234" s="87"/>
      <c r="S234" s="87"/>
      <c r="T234" s="87"/>
      <c r="U234" s="87"/>
      <c r="V234" s="87"/>
      <c r="W234" s="87"/>
    </row>
    <row r="235" spans="1:23">
      <c r="A235" s="88">
        <f t="shared" si="55"/>
        <v>0</v>
      </c>
      <c r="B235" s="88"/>
      <c r="C235" s="229"/>
      <c r="D235" s="89">
        <f t="shared" si="60"/>
        <v>0</v>
      </c>
      <c r="E235" s="89">
        <f t="shared" si="60"/>
        <v>0</v>
      </c>
      <c r="F235" s="89">
        <f t="shared" si="60"/>
        <v>0</v>
      </c>
      <c r="G235" s="89">
        <f t="shared" si="60"/>
        <v>0</v>
      </c>
      <c r="H235" s="89">
        <f t="shared" si="60"/>
        <v>0</v>
      </c>
      <c r="I235" s="89">
        <f t="shared" si="60"/>
        <v>0</v>
      </c>
      <c r="J235" s="89">
        <f t="shared" si="60"/>
        <v>0</v>
      </c>
      <c r="K235" s="87"/>
      <c r="L235" s="87"/>
      <c r="M235" s="87"/>
      <c r="N235" s="87"/>
      <c r="O235" s="87"/>
      <c r="P235" s="87"/>
      <c r="Q235" s="87"/>
      <c r="R235" s="87"/>
      <c r="S235" s="87"/>
      <c r="T235" s="87"/>
      <c r="U235" s="87"/>
      <c r="V235" s="87"/>
      <c r="W235" s="87"/>
    </row>
    <row r="236" spans="1:23">
      <c r="A236" s="88">
        <f t="shared" si="55"/>
        <v>0</v>
      </c>
      <c r="B236" s="88"/>
      <c r="C236" s="229"/>
      <c r="D236" s="89">
        <f t="shared" si="60"/>
        <v>0</v>
      </c>
      <c r="E236" s="89">
        <f t="shared" si="60"/>
        <v>0</v>
      </c>
      <c r="F236" s="89">
        <f t="shared" si="60"/>
        <v>0</v>
      </c>
      <c r="G236" s="89">
        <f t="shared" si="60"/>
        <v>0</v>
      </c>
      <c r="H236" s="89">
        <f t="shared" si="60"/>
        <v>0</v>
      </c>
      <c r="I236" s="89">
        <f t="shared" si="60"/>
        <v>0</v>
      </c>
      <c r="J236" s="89">
        <f t="shared" si="60"/>
        <v>0</v>
      </c>
      <c r="K236" s="87"/>
      <c r="L236" s="87"/>
      <c r="M236" s="87"/>
      <c r="N236" s="87"/>
      <c r="O236" s="87"/>
      <c r="P236" s="87"/>
      <c r="Q236" s="87"/>
      <c r="R236" s="87"/>
      <c r="S236" s="87"/>
      <c r="T236" s="87"/>
      <c r="U236" s="87"/>
      <c r="V236" s="87"/>
      <c r="W236" s="87"/>
    </row>
    <row r="237" spans="1:23">
      <c r="A237" s="88">
        <f t="shared" si="55"/>
        <v>0</v>
      </c>
      <c r="B237" s="88"/>
      <c r="C237" s="229"/>
      <c r="D237" s="89">
        <f t="shared" si="60"/>
        <v>0</v>
      </c>
      <c r="E237" s="89">
        <f t="shared" si="60"/>
        <v>0</v>
      </c>
      <c r="F237" s="89">
        <f t="shared" si="60"/>
        <v>0</v>
      </c>
      <c r="G237" s="89">
        <f t="shared" si="60"/>
        <v>0</v>
      </c>
      <c r="H237" s="89">
        <f t="shared" si="60"/>
        <v>0</v>
      </c>
      <c r="I237" s="89">
        <f t="shared" si="60"/>
        <v>0</v>
      </c>
      <c r="J237" s="89">
        <f t="shared" si="60"/>
        <v>0</v>
      </c>
      <c r="K237" s="87"/>
      <c r="L237" s="87"/>
      <c r="M237" s="87"/>
      <c r="N237" s="87"/>
      <c r="O237" s="87"/>
      <c r="P237" s="87"/>
      <c r="Q237" s="87"/>
      <c r="R237" s="87"/>
      <c r="S237" s="87"/>
      <c r="T237" s="87"/>
      <c r="U237" s="87"/>
      <c r="V237" s="87"/>
      <c r="W237" s="87"/>
    </row>
    <row r="238" spans="1:23">
      <c r="A238" s="88">
        <f t="shared" si="55"/>
        <v>0</v>
      </c>
      <c r="B238" s="88"/>
      <c r="C238" s="229"/>
      <c r="D238" s="89">
        <f t="shared" si="60"/>
        <v>0</v>
      </c>
      <c r="E238" s="89">
        <f t="shared" si="60"/>
        <v>0</v>
      </c>
      <c r="F238" s="89">
        <f t="shared" si="60"/>
        <v>0</v>
      </c>
      <c r="G238" s="89">
        <f t="shared" si="60"/>
        <v>0</v>
      </c>
      <c r="H238" s="89">
        <f t="shared" si="60"/>
        <v>0</v>
      </c>
      <c r="I238" s="89">
        <f t="shared" si="60"/>
        <v>0</v>
      </c>
      <c r="J238" s="89">
        <f t="shared" si="60"/>
        <v>0</v>
      </c>
      <c r="K238" s="87"/>
      <c r="L238" s="87"/>
      <c r="M238" s="87"/>
      <c r="N238" s="87"/>
      <c r="O238" s="87"/>
      <c r="P238" s="87"/>
      <c r="Q238" s="87"/>
      <c r="R238" s="87"/>
      <c r="S238" s="87"/>
      <c r="T238" s="87"/>
      <c r="U238" s="87"/>
      <c r="V238" s="87"/>
      <c r="W238" s="87"/>
    </row>
    <row r="239" spans="1:23">
      <c r="A239" s="88" t="str">
        <f>A175</f>
        <v>Pomegranate</v>
      </c>
      <c r="B239" s="88"/>
      <c r="C239" s="229"/>
      <c r="D239" s="89">
        <f t="shared" ref="D239:J243" si="61">C107*$C239*D$124</f>
        <v>0</v>
      </c>
      <c r="E239" s="89">
        <f t="shared" si="61"/>
        <v>0</v>
      </c>
      <c r="F239" s="89">
        <f t="shared" si="61"/>
        <v>0</v>
      </c>
      <c r="G239" s="89">
        <f t="shared" si="61"/>
        <v>0</v>
      </c>
      <c r="H239" s="89">
        <f t="shared" si="61"/>
        <v>0</v>
      </c>
      <c r="I239" s="89">
        <f t="shared" si="61"/>
        <v>0</v>
      </c>
      <c r="J239" s="89">
        <f t="shared" si="61"/>
        <v>0</v>
      </c>
      <c r="K239" s="87"/>
      <c r="L239" s="87"/>
      <c r="M239" s="87"/>
      <c r="N239" s="87"/>
      <c r="O239" s="87"/>
      <c r="P239" s="87"/>
      <c r="Q239" s="87"/>
      <c r="R239" s="87"/>
      <c r="S239" s="87"/>
      <c r="T239" s="87"/>
      <c r="U239" s="87"/>
      <c r="V239" s="87"/>
      <c r="W239" s="87"/>
    </row>
    <row r="240" spans="1:23">
      <c r="A240" s="88" t="str">
        <f>A176</f>
        <v>Custard Apple</v>
      </c>
      <c r="B240" s="88"/>
      <c r="C240" s="229"/>
      <c r="D240" s="89">
        <f t="shared" si="61"/>
        <v>0</v>
      </c>
      <c r="E240" s="89">
        <f t="shared" si="61"/>
        <v>0</v>
      </c>
      <c r="F240" s="89">
        <f t="shared" si="61"/>
        <v>0</v>
      </c>
      <c r="G240" s="89">
        <f t="shared" si="61"/>
        <v>0</v>
      </c>
      <c r="H240" s="89">
        <f t="shared" si="61"/>
        <v>0</v>
      </c>
      <c r="I240" s="89">
        <f t="shared" si="61"/>
        <v>0</v>
      </c>
      <c r="J240" s="89">
        <f t="shared" si="61"/>
        <v>0</v>
      </c>
      <c r="K240" s="87"/>
      <c r="L240" s="87"/>
      <c r="M240" s="87"/>
      <c r="N240" s="87"/>
      <c r="O240" s="87"/>
      <c r="P240" s="87"/>
      <c r="Q240" s="87"/>
      <c r="R240" s="87"/>
      <c r="S240" s="87"/>
      <c r="T240" s="87"/>
      <c r="U240" s="87"/>
      <c r="V240" s="87"/>
      <c r="W240" s="87"/>
    </row>
    <row r="241" spans="1:23">
      <c r="A241" s="88" t="str">
        <f>A177</f>
        <v>Guava</v>
      </c>
      <c r="B241" s="88"/>
      <c r="C241" s="229"/>
      <c r="D241" s="89">
        <f t="shared" si="61"/>
        <v>0</v>
      </c>
      <c r="E241" s="89">
        <f t="shared" si="61"/>
        <v>0</v>
      </c>
      <c r="F241" s="89">
        <f t="shared" si="61"/>
        <v>0</v>
      </c>
      <c r="G241" s="89">
        <f t="shared" si="61"/>
        <v>0</v>
      </c>
      <c r="H241" s="89">
        <f t="shared" si="61"/>
        <v>0</v>
      </c>
      <c r="I241" s="89">
        <f t="shared" si="61"/>
        <v>0</v>
      </c>
      <c r="J241" s="89">
        <f t="shared" si="61"/>
        <v>0</v>
      </c>
      <c r="K241" s="87"/>
      <c r="L241" s="87"/>
      <c r="M241" s="87"/>
      <c r="N241" s="87"/>
      <c r="O241" s="87"/>
      <c r="P241" s="87"/>
      <c r="Q241" s="87"/>
      <c r="R241" s="87"/>
      <c r="S241" s="87"/>
      <c r="T241" s="87"/>
      <c r="U241" s="87"/>
      <c r="V241" s="87"/>
      <c r="W241" s="87"/>
    </row>
    <row r="242" spans="1:23">
      <c r="A242" s="88" t="str">
        <f>A178</f>
        <v>Citrus</v>
      </c>
      <c r="B242" s="88"/>
      <c r="C242" s="229"/>
      <c r="D242" s="89">
        <f t="shared" si="61"/>
        <v>0</v>
      </c>
      <c r="E242" s="89">
        <f t="shared" si="61"/>
        <v>0</v>
      </c>
      <c r="F242" s="89">
        <f t="shared" si="61"/>
        <v>0</v>
      </c>
      <c r="G242" s="89">
        <f t="shared" si="61"/>
        <v>0</v>
      </c>
      <c r="H242" s="89">
        <f t="shared" si="61"/>
        <v>0</v>
      </c>
      <c r="I242" s="89">
        <f t="shared" si="61"/>
        <v>0</v>
      </c>
      <c r="J242" s="89">
        <f t="shared" si="61"/>
        <v>0</v>
      </c>
      <c r="K242" s="87"/>
      <c r="L242" s="87"/>
      <c r="M242" s="87"/>
      <c r="N242" s="87"/>
      <c r="O242" s="87"/>
      <c r="P242" s="87"/>
      <c r="Q242" s="87"/>
      <c r="R242" s="87"/>
      <c r="S242" s="87"/>
      <c r="T242" s="87"/>
      <c r="U242" s="87"/>
      <c r="V242" s="87"/>
      <c r="W242" s="87"/>
    </row>
    <row r="243" spans="1:23">
      <c r="A243" s="88">
        <f>A179</f>
        <v>0</v>
      </c>
      <c r="B243" s="88"/>
      <c r="C243" s="229"/>
      <c r="D243" s="89">
        <f t="shared" si="61"/>
        <v>0</v>
      </c>
      <c r="E243" s="89">
        <f t="shared" si="61"/>
        <v>0</v>
      </c>
      <c r="F243" s="89">
        <f t="shared" si="61"/>
        <v>0</v>
      </c>
      <c r="G243" s="89">
        <f t="shared" si="61"/>
        <v>0</v>
      </c>
      <c r="H243" s="89">
        <f t="shared" si="61"/>
        <v>0</v>
      </c>
      <c r="I243" s="89">
        <f t="shared" si="61"/>
        <v>0</v>
      </c>
      <c r="J243" s="89">
        <f t="shared" si="61"/>
        <v>0</v>
      </c>
      <c r="K243" s="87"/>
      <c r="L243" s="87"/>
      <c r="M243" s="87"/>
      <c r="N243" s="87"/>
      <c r="O243" s="87"/>
      <c r="P243" s="87"/>
      <c r="Q243" s="87"/>
      <c r="R243" s="87"/>
      <c r="S243" s="87"/>
      <c r="T243" s="87"/>
      <c r="U243" s="87"/>
      <c r="V243" s="87"/>
      <c r="W243" s="87"/>
    </row>
    <row r="244" spans="1:23">
      <c r="A244" s="88" t="str">
        <f>A181</f>
        <v>Fertilizer(Rate/KG)</v>
      </c>
      <c r="B244" s="88"/>
      <c r="C244" s="89"/>
      <c r="D244" s="89"/>
      <c r="E244" s="89"/>
      <c r="F244" s="89"/>
      <c r="G244" s="89"/>
      <c r="H244" s="89"/>
      <c r="I244" s="89"/>
      <c r="J244" s="89"/>
      <c r="K244" s="87"/>
      <c r="L244" s="87"/>
      <c r="M244" s="87"/>
      <c r="N244" s="87"/>
      <c r="O244" s="87"/>
      <c r="P244" s="87"/>
      <c r="Q244" s="87"/>
      <c r="R244" s="87"/>
      <c r="S244" s="87"/>
      <c r="T244" s="87"/>
      <c r="U244" s="87"/>
      <c r="V244" s="87"/>
      <c r="W244" s="87"/>
    </row>
    <row r="245" spans="1:23">
      <c r="A245" s="88" t="str">
        <f>A182</f>
        <v>SSP</v>
      </c>
      <c r="B245" s="88"/>
      <c r="C245" s="229">
        <v>6</v>
      </c>
      <c r="D245" s="89">
        <f t="shared" ref="D245:J245" si="62">C114*$C$245*D124</f>
        <v>0</v>
      </c>
      <c r="E245" s="89">
        <f t="shared" si="62"/>
        <v>0</v>
      </c>
      <c r="F245" s="89">
        <f t="shared" si="62"/>
        <v>0</v>
      </c>
      <c r="G245" s="89">
        <f t="shared" si="62"/>
        <v>0</v>
      </c>
      <c r="H245" s="89">
        <f t="shared" si="62"/>
        <v>0</v>
      </c>
      <c r="I245" s="89">
        <f t="shared" si="62"/>
        <v>0</v>
      </c>
      <c r="J245" s="89">
        <f t="shared" si="62"/>
        <v>0</v>
      </c>
      <c r="K245" s="87"/>
      <c r="L245" s="87"/>
      <c r="M245" s="87"/>
      <c r="N245" s="87"/>
      <c r="O245" s="87"/>
      <c r="P245" s="87"/>
      <c r="Q245" s="87"/>
      <c r="R245" s="87"/>
      <c r="S245" s="87"/>
      <c r="T245" s="87"/>
      <c r="U245" s="87"/>
      <c r="V245" s="87"/>
      <c r="W245" s="87"/>
    </row>
    <row r="246" spans="1:23">
      <c r="A246" s="88" t="str">
        <f>A183</f>
        <v>Urea</v>
      </c>
      <c r="B246" s="88"/>
      <c r="C246" s="229">
        <v>5</v>
      </c>
      <c r="D246" s="89">
        <f t="shared" ref="D246:J246" si="63">C115*$C$246*D124</f>
        <v>0</v>
      </c>
      <c r="E246" s="89">
        <f t="shared" si="63"/>
        <v>0</v>
      </c>
      <c r="F246" s="89">
        <f t="shared" si="63"/>
        <v>0</v>
      </c>
      <c r="G246" s="89">
        <f t="shared" si="63"/>
        <v>0</v>
      </c>
      <c r="H246" s="89">
        <f t="shared" si="63"/>
        <v>0</v>
      </c>
      <c r="I246" s="89">
        <f t="shared" si="63"/>
        <v>0</v>
      </c>
      <c r="J246" s="89">
        <f t="shared" si="63"/>
        <v>0</v>
      </c>
      <c r="K246" s="87"/>
      <c r="L246" s="87"/>
      <c r="M246" s="87"/>
      <c r="N246" s="87"/>
      <c r="O246" s="87"/>
      <c r="P246" s="87"/>
      <c r="Q246" s="87"/>
      <c r="R246" s="87"/>
      <c r="S246" s="87"/>
      <c r="T246" s="87"/>
      <c r="U246" s="87"/>
      <c r="V246" s="87"/>
      <c r="W246" s="87"/>
    </row>
    <row r="247" spans="1:23">
      <c r="A247" s="88" t="str">
        <f>A184</f>
        <v>DAP</v>
      </c>
      <c r="B247" s="88"/>
      <c r="C247" s="229">
        <v>27</v>
      </c>
      <c r="D247" s="89">
        <f t="shared" ref="D247:J247" si="64">C116*$C$247*D124</f>
        <v>0</v>
      </c>
      <c r="E247" s="89">
        <f t="shared" si="64"/>
        <v>0</v>
      </c>
      <c r="F247" s="89">
        <f t="shared" si="64"/>
        <v>0</v>
      </c>
      <c r="G247" s="89">
        <f t="shared" si="64"/>
        <v>0</v>
      </c>
      <c r="H247" s="89">
        <f t="shared" si="64"/>
        <v>0</v>
      </c>
      <c r="I247" s="89">
        <f t="shared" si="64"/>
        <v>0</v>
      </c>
      <c r="J247" s="89">
        <f t="shared" si="64"/>
        <v>0</v>
      </c>
      <c r="K247" s="87"/>
      <c r="L247" s="87"/>
      <c r="M247" s="87"/>
      <c r="N247" s="87"/>
      <c r="O247" s="87"/>
      <c r="P247" s="87"/>
      <c r="Q247" s="87"/>
      <c r="R247" s="87"/>
      <c r="S247" s="87"/>
      <c r="T247" s="87"/>
      <c r="U247" s="87"/>
      <c r="V247" s="87"/>
      <c r="W247" s="87"/>
    </row>
    <row r="248" spans="1:23">
      <c r="A248" s="88"/>
      <c r="B248" s="88"/>
      <c r="C248" s="89"/>
      <c r="D248" s="89"/>
      <c r="E248" s="89"/>
      <c r="F248" s="89"/>
      <c r="G248" s="89"/>
      <c r="H248" s="89"/>
      <c r="I248" s="89"/>
      <c r="J248" s="89"/>
      <c r="K248" s="87"/>
      <c r="L248" s="87"/>
      <c r="M248" s="87"/>
      <c r="N248" s="87"/>
      <c r="O248" s="87"/>
      <c r="P248" s="87"/>
      <c r="Q248" s="87"/>
      <c r="R248" s="87"/>
      <c r="S248" s="87"/>
      <c r="T248" s="87"/>
      <c r="U248" s="87"/>
      <c r="V248" s="87"/>
      <c r="W248" s="87"/>
    </row>
    <row r="249" spans="1:23">
      <c r="A249" s="88" t="str">
        <f>A186</f>
        <v>Pesticide</v>
      </c>
      <c r="B249" s="88"/>
      <c r="C249" s="89"/>
      <c r="D249" s="89"/>
      <c r="E249" s="89"/>
      <c r="F249" s="89"/>
      <c r="G249" s="89"/>
      <c r="H249" s="89"/>
      <c r="I249" s="89"/>
      <c r="J249" s="89"/>
      <c r="K249" s="87"/>
      <c r="L249" s="87"/>
      <c r="M249" s="87"/>
      <c r="N249" s="87"/>
      <c r="O249" s="87"/>
      <c r="P249" s="87"/>
      <c r="Q249" s="87"/>
      <c r="R249" s="87"/>
      <c r="S249" s="87"/>
      <c r="T249" s="87"/>
      <c r="U249" s="87"/>
      <c r="V249" s="87"/>
      <c r="W249" s="87"/>
    </row>
    <row r="250" spans="1:23">
      <c r="A250" s="88" t="str">
        <f>A187</f>
        <v>Dupont Coragen</v>
      </c>
      <c r="B250" s="88"/>
      <c r="C250" s="229">
        <v>2800</v>
      </c>
      <c r="D250" s="89">
        <f t="shared" ref="D250:J250" si="65">C118*$C$250*D124</f>
        <v>0</v>
      </c>
      <c r="E250" s="89">
        <f t="shared" si="65"/>
        <v>0</v>
      </c>
      <c r="F250" s="89">
        <f t="shared" si="65"/>
        <v>0</v>
      </c>
      <c r="G250" s="89">
        <f t="shared" si="65"/>
        <v>0</v>
      </c>
      <c r="H250" s="89">
        <f t="shared" si="65"/>
        <v>0</v>
      </c>
      <c r="I250" s="89">
        <f t="shared" si="65"/>
        <v>0</v>
      </c>
      <c r="J250" s="89">
        <f t="shared" si="65"/>
        <v>0</v>
      </c>
      <c r="K250" s="87"/>
      <c r="L250" s="87"/>
      <c r="M250" s="87"/>
      <c r="N250" s="87"/>
      <c r="O250" s="87"/>
      <c r="P250" s="87"/>
      <c r="Q250" s="87"/>
      <c r="R250" s="87"/>
      <c r="S250" s="87"/>
      <c r="T250" s="87"/>
      <c r="U250" s="87"/>
      <c r="V250" s="87"/>
      <c r="W250" s="87"/>
    </row>
    <row r="251" spans="1:23">
      <c r="A251" s="88" t="str">
        <f>A188</f>
        <v>Confidor Boyer</v>
      </c>
      <c r="B251" s="88"/>
      <c r="C251" s="229">
        <v>2000</v>
      </c>
      <c r="D251" s="89">
        <f t="shared" ref="D251:J251" si="66">C119*$C$251*D124</f>
        <v>0</v>
      </c>
      <c r="E251" s="89">
        <f t="shared" si="66"/>
        <v>0</v>
      </c>
      <c r="F251" s="89">
        <f t="shared" si="66"/>
        <v>0</v>
      </c>
      <c r="G251" s="89">
        <f t="shared" si="66"/>
        <v>0</v>
      </c>
      <c r="H251" s="89">
        <f t="shared" si="66"/>
        <v>0</v>
      </c>
      <c r="I251" s="89">
        <f t="shared" si="66"/>
        <v>0</v>
      </c>
      <c r="J251" s="89">
        <f t="shared" si="66"/>
        <v>0</v>
      </c>
      <c r="K251" s="87"/>
      <c r="L251" s="87"/>
      <c r="M251" s="87"/>
      <c r="N251" s="87"/>
      <c r="O251" s="87"/>
      <c r="P251" s="87"/>
      <c r="Q251" s="87"/>
      <c r="R251" s="87"/>
      <c r="S251" s="87"/>
      <c r="T251" s="87"/>
      <c r="U251" s="87"/>
      <c r="V251" s="87"/>
      <c r="W251" s="87"/>
    </row>
    <row r="252" spans="1:23">
      <c r="A252" s="88"/>
      <c r="B252" s="88"/>
      <c r="C252" s="89"/>
      <c r="D252" s="89"/>
      <c r="E252" s="89"/>
      <c r="F252" s="89"/>
      <c r="G252" s="89"/>
      <c r="H252" s="89"/>
      <c r="I252" s="89"/>
      <c r="J252" s="89"/>
      <c r="K252" s="87"/>
      <c r="L252" s="87"/>
      <c r="M252" s="87"/>
      <c r="N252" s="87"/>
      <c r="O252" s="87"/>
      <c r="P252" s="87"/>
      <c r="Q252" s="87"/>
      <c r="R252" s="87"/>
      <c r="S252" s="87"/>
      <c r="T252" s="87"/>
      <c r="U252" s="87"/>
      <c r="V252" s="87"/>
      <c r="W252" s="87"/>
    </row>
    <row r="253" spans="1:23">
      <c r="A253" s="88" t="s">
        <v>295</v>
      </c>
      <c r="B253" s="88"/>
      <c r="C253" s="229">
        <v>10</v>
      </c>
      <c r="D253" s="89">
        <f t="shared" ref="D253:J253" si="67">(SUM(C63:C119)/50)*$C$253*D124</f>
        <v>0</v>
      </c>
      <c r="E253" s="89">
        <f t="shared" si="67"/>
        <v>0</v>
      </c>
      <c r="F253" s="89">
        <f t="shared" si="67"/>
        <v>0</v>
      </c>
      <c r="G253" s="89">
        <f t="shared" si="67"/>
        <v>0</v>
      </c>
      <c r="H253" s="89">
        <f t="shared" si="67"/>
        <v>0</v>
      </c>
      <c r="I253" s="89">
        <f t="shared" si="67"/>
        <v>0</v>
      </c>
      <c r="J253" s="89">
        <f t="shared" si="67"/>
        <v>0</v>
      </c>
      <c r="K253" s="87"/>
      <c r="L253" s="87"/>
      <c r="M253" s="87"/>
      <c r="N253" s="87"/>
      <c r="O253" s="87"/>
      <c r="P253" s="87"/>
      <c r="Q253" s="87"/>
      <c r="R253" s="87"/>
      <c r="S253" s="87"/>
      <c r="T253" s="87"/>
      <c r="U253" s="87"/>
      <c r="V253" s="87"/>
      <c r="W253" s="87"/>
    </row>
    <row r="254" spans="1:23">
      <c r="A254" s="88" t="s">
        <v>174</v>
      </c>
      <c r="B254" s="88"/>
      <c r="C254" s="229">
        <v>100</v>
      </c>
      <c r="D254" s="89">
        <f t="shared" ref="D254:J254" si="68">(SUM(C63:C119)/50)*$C$254*D124</f>
        <v>0</v>
      </c>
      <c r="E254" s="89">
        <f t="shared" si="68"/>
        <v>0</v>
      </c>
      <c r="F254" s="89">
        <f t="shared" si="68"/>
        <v>0</v>
      </c>
      <c r="G254" s="89">
        <f t="shared" si="68"/>
        <v>0</v>
      </c>
      <c r="H254" s="89">
        <f t="shared" si="68"/>
        <v>0</v>
      </c>
      <c r="I254" s="89">
        <f t="shared" si="68"/>
        <v>0</v>
      </c>
      <c r="J254" s="89">
        <f t="shared" si="68"/>
        <v>0</v>
      </c>
      <c r="K254" s="87"/>
      <c r="L254" s="87"/>
      <c r="M254" s="87"/>
      <c r="N254" s="87"/>
      <c r="O254" s="87"/>
      <c r="P254" s="87"/>
      <c r="Q254" s="87"/>
      <c r="R254" s="87"/>
      <c r="S254" s="87"/>
      <c r="T254" s="87"/>
      <c r="U254" s="87"/>
      <c r="V254" s="87"/>
      <c r="W254" s="87"/>
    </row>
    <row r="255" spans="1:23">
      <c r="A255" s="88"/>
      <c r="B255" s="88"/>
      <c r="C255" s="229"/>
      <c r="D255" s="201"/>
      <c r="E255" s="89"/>
      <c r="F255" s="89"/>
      <c r="G255" s="89"/>
      <c r="H255" s="89"/>
      <c r="I255" s="89"/>
      <c r="J255" s="89"/>
      <c r="K255" s="87"/>
      <c r="L255" s="87"/>
      <c r="M255" s="87"/>
      <c r="N255" s="87"/>
      <c r="O255" s="87"/>
      <c r="P255" s="87"/>
      <c r="Q255" s="87"/>
      <c r="R255" s="87"/>
      <c r="S255" s="87"/>
      <c r="T255" s="87"/>
      <c r="U255" s="87"/>
      <c r="V255" s="87"/>
      <c r="W255" s="87"/>
    </row>
    <row r="256" spans="1:23">
      <c r="A256" s="88"/>
      <c r="B256" s="88"/>
      <c r="C256" s="229"/>
      <c r="D256" s="201"/>
      <c r="E256" s="89"/>
      <c r="F256" s="89"/>
      <c r="G256" s="89"/>
      <c r="H256" s="89"/>
      <c r="I256" s="89"/>
      <c r="J256" s="89"/>
      <c r="K256" s="87"/>
      <c r="L256" s="87"/>
      <c r="M256" s="87"/>
      <c r="N256" s="87"/>
      <c r="O256" s="87"/>
      <c r="P256" s="87"/>
      <c r="Q256" s="87"/>
      <c r="R256" s="87"/>
      <c r="S256" s="87"/>
      <c r="T256" s="87"/>
      <c r="U256" s="87"/>
      <c r="V256" s="87"/>
      <c r="W256" s="87"/>
    </row>
    <row r="257" spans="1:23">
      <c r="A257" s="88"/>
      <c r="B257" s="88"/>
      <c r="C257" s="229"/>
      <c r="D257" s="201"/>
      <c r="E257" s="89"/>
      <c r="F257" s="89"/>
      <c r="G257" s="89"/>
      <c r="H257" s="89"/>
      <c r="I257" s="89"/>
      <c r="J257" s="89"/>
      <c r="K257" s="87"/>
      <c r="L257" s="87"/>
      <c r="M257" s="87"/>
      <c r="N257" s="87"/>
      <c r="O257" s="87"/>
      <c r="P257" s="87"/>
      <c r="Q257" s="87"/>
      <c r="R257" s="87"/>
      <c r="S257" s="87"/>
      <c r="T257" s="87"/>
      <c r="U257" s="87"/>
      <c r="V257" s="87"/>
      <c r="W257" s="87"/>
    </row>
    <row r="258" spans="1:23">
      <c r="A258" s="88"/>
      <c r="B258" s="88"/>
      <c r="C258" s="229"/>
      <c r="D258" s="201"/>
      <c r="E258" s="89"/>
      <c r="F258" s="89"/>
      <c r="G258" s="89"/>
      <c r="H258" s="89"/>
      <c r="I258" s="89"/>
      <c r="J258" s="89"/>
      <c r="K258" s="87"/>
      <c r="L258" s="87"/>
      <c r="M258" s="87"/>
      <c r="N258" s="87"/>
      <c r="O258" s="87"/>
      <c r="P258" s="87"/>
      <c r="Q258" s="87"/>
      <c r="R258" s="87"/>
      <c r="S258" s="87"/>
      <c r="T258" s="87"/>
      <c r="U258" s="87"/>
      <c r="V258" s="87"/>
      <c r="W258" s="87"/>
    </row>
    <row r="259" spans="1:23">
      <c r="A259" s="88" t="s">
        <v>349</v>
      </c>
      <c r="B259" s="88"/>
      <c r="C259" s="89"/>
      <c r="D259" s="201"/>
      <c r="E259" s="89">
        <f>'5.Closing Stock &amp; W Capital'!F6</f>
        <v>0</v>
      </c>
      <c r="F259" s="89">
        <f>'5.Closing Stock &amp; W Capital'!G6</f>
        <v>0</v>
      </c>
      <c r="G259" s="89">
        <f>'5.Closing Stock &amp; W Capital'!H6</f>
        <v>0</v>
      </c>
      <c r="H259" s="89">
        <f>'5.Closing Stock &amp; W Capital'!I6</f>
        <v>0</v>
      </c>
      <c r="I259" s="89">
        <f>'5.Closing Stock &amp; W Capital'!J6</f>
        <v>0</v>
      </c>
      <c r="J259" s="89">
        <f>'5.Closing Stock &amp; W Capital'!K6</f>
        <v>0</v>
      </c>
      <c r="K259" s="87"/>
      <c r="L259" s="87"/>
      <c r="M259" s="87"/>
      <c r="N259" s="87"/>
      <c r="O259" s="87"/>
      <c r="P259" s="87"/>
      <c r="Q259" s="87"/>
      <c r="R259" s="87"/>
      <c r="S259" s="87"/>
      <c r="T259" s="87"/>
      <c r="U259" s="87"/>
      <c r="V259" s="87"/>
      <c r="W259" s="87"/>
    </row>
    <row r="260" spans="1:23">
      <c r="A260" s="92" t="s">
        <v>350</v>
      </c>
      <c r="B260" s="88"/>
      <c r="C260" s="88"/>
      <c r="D260" s="201">
        <f>'5.Closing Stock &amp; W Capital'!E15</f>
        <v>0</v>
      </c>
      <c r="E260" s="89">
        <f>'5.Closing Stock &amp; W Capital'!F15</f>
        <v>0</v>
      </c>
      <c r="F260" s="89">
        <f>'5.Closing Stock &amp; W Capital'!G15</f>
        <v>0</v>
      </c>
      <c r="G260" s="89">
        <f>'5.Closing Stock &amp; W Capital'!H15</f>
        <v>0</v>
      </c>
      <c r="H260" s="89">
        <f>'5.Closing Stock &amp; W Capital'!I15</f>
        <v>0</v>
      </c>
      <c r="I260" s="89">
        <f>'5.Closing Stock &amp; W Capital'!J15</f>
        <v>0</v>
      </c>
      <c r="J260" s="89">
        <f>'5.Closing Stock &amp; W Capital'!K15</f>
        <v>0</v>
      </c>
      <c r="K260" s="87"/>
      <c r="L260" s="87"/>
      <c r="M260" s="87"/>
      <c r="N260" s="87"/>
      <c r="O260" s="87"/>
      <c r="P260" s="87"/>
      <c r="Q260" s="87"/>
      <c r="R260" s="87"/>
      <c r="S260" s="87"/>
      <c r="T260" s="87"/>
      <c r="U260" s="87"/>
      <c r="V260" s="87"/>
      <c r="W260" s="87"/>
    </row>
    <row r="261" spans="1:23">
      <c r="A261" s="88"/>
      <c r="B261" s="88"/>
      <c r="C261" s="88"/>
      <c r="D261" s="87"/>
      <c r="E261" s="87"/>
      <c r="F261" s="87"/>
      <c r="G261" s="87"/>
      <c r="H261" s="87"/>
      <c r="I261" s="87"/>
      <c r="J261" s="87"/>
      <c r="K261" s="87"/>
      <c r="L261" s="87"/>
      <c r="M261" s="87"/>
      <c r="N261" s="87"/>
      <c r="O261" s="87"/>
      <c r="P261" s="87"/>
      <c r="Q261" s="87"/>
      <c r="R261" s="87"/>
      <c r="S261" s="87"/>
      <c r="T261" s="87"/>
      <c r="U261" s="87"/>
      <c r="V261" s="87"/>
      <c r="W261" s="87"/>
    </row>
    <row r="262" spans="1:23">
      <c r="A262" s="90" t="s">
        <v>327</v>
      </c>
      <c r="B262" s="90"/>
      <c r="C262" s="108"/>
      <c r="D262" s="108">
        <f>SUM(D197:D258)+D259-D260</f>
        <v>0</v>
      </c>
      <c r="E262" s="108">
        <f t="shared" ref="E262:J262" si="69">SUM(E197:E258)+E259-E260</f>
        <v>0</v>
      </c>
      <c r="F262" s="108">
        <f t="shared" si="69"/>
        <v>0</v>
      </c>
      <c r="G262" s="108">
        <f t="shared" si="69"/>
        <v>0</v>
      </c>
      <c r="H262" s="108">
        <f t="shared" si="69"/>
        <v>0</v>
      </c>
      <c r="I262" s="108">
        <f t="shared" si="69"/>
        <v>0</v>
      </c>
      <c r="J262" s="108">
        <f t="shared" si="69"/>
        <v>0</v>
      </c>
      <c r="K262" s="87"/>
      <c r="L262" s="87"/>
      <c r="M262" s="87"/>
      <c r="N262" s="87"/>
      <c r="O262" s="87"/>
      <c r="P262" s="87"/>
      <c r="Q262" s="87"/>
      <c r="R262" s="87"/>
      <c r="S262" s="87"/>
      <c r="T262" s="87"/>
      <c r="U262" s="87"/>
      <c r="V262" s="87"/>
      <c r="W262" s="87"/>
    </row>
    <row r="263" spans="1:23">
      <c r="A263" s="88"/>
      <c r="B263" s="88"/>
      <c r="C263" s="89"/>
      <c r="D263" s="89"/>
      <c r="E263" s="89"/>
      <c r="F263" s="89"/>
      <c r="G263" s="89"/>
      <c r="H263" s="89"/>
      <c r="I263" s="89"/>
      <c r="J263" s="89"/>
      <c r="K263" s="87"/>
      <c r="L263" s="87"/>
      <c r="M263" s="87"/>
      <c r="N263" s="87"/>
      <c r="O263" s="87"/>
      <c r="P263" s="87"/>
      <c r="Q263" s="87"/>
      <c r="R263" s="87"/>
      <c r="S263" s="87"/>
      <c r="T263" s="87"/>
      <c r="U263" s="87"/>
      <c r="V263" s="87"/>
      <c r="W263" s="87"/>
    </row>
    <row r="264" spans="1:23">
      <c r="A264" s="90" t="s">
        <v>314</v>
      </c>
      <c r="B264" s="90"/>
      <c r="C264" s="89"/>
      <c r="D264" s="89"/>
      <c r="E264" s="89"/>
      <c r="F264" s="89"/>
      <c r="G264" s="89"/>
      <c r="H264" s="89"/>
      <c r="I264" s="89"/>
      <c r="J264" s="89"/>
      <c r="K264" s="87"/>
      <c r="L264" s="87"/>
      <c r="M264" s="87"/>
      <c r="N264" s="87"/>
      <c r="O264" s="87"/>
      <c r="P264" s="87"/>
      <c r="Q264" s="87"/>
      <c r="R264" s="87"/>
      <c r="S264" s="87"/>
      <c r="T264" s="87"/>
      <c r="U264" s="87"/>
      <c r="V264" s="87"/>
      <c r="W264" s="87"/>
    </row>
    <row r="265" spans="1:23">
      <c r="A265" s="88" t="s">
        <v>332</v>
      </c>
      <c r="B265" s="88">
        <v>12</v>
      </c>
      <c r="C265" s="229"/>
      <c r="D265" s="89">
        <f t="shared" ref="D265:J265" si="70">$B$265*$C$265*D124</f>
        <v>0</v>
      </c>
      <c r="E265" s="89">
        <f t="shared" si="70"/>
        <v>0</v>
      </c>
      <c r="F265" s="89">
        <f t="shared" si="70"/>
        <v>0</v>
      </c>
      <c r="G265" s="89">
        <f t="shared" si="70"/>
        <v>0</v>
      </c>
      <c r="H265" s="89">
        <f t="shared" si="70"/>
        <v>0</v>
      </c>
      <c r="I265" s="89">
        <f t="shared" si="70"/>
        <v>0</v>
      </c>
      <c r="J265" s="89">
        <f t="shared" si="70"/>
        <v>0</v>
      </c>
      <c r="K265" s="87"/>
      <c r="L265" s="87"/>
      <c r="M265" s="87"/>
      <c r="N265" s="87"/>
      <c r="O265" s="87"/>
      <c r="P265" s="87"/>
      <c r="Q265" s="87"/>
      <c r="R265" s="87"/>
      <c r="S265" s="87"/>
      <c r="T265" s="87"/>
      <c r="U265" s="87"/>
      <c r="V265" s="87"/>
      <c r="W265" s="87"/>
    </row>
    <row r="266" spans="1:23">
      <c r="A266" s="88" t="s">
        <v>333</v>
      </c>
      <c r="B266" s="217">
        <v>1</v>
      </c>
      <c r="C266" s="229"/>
      <c r="D266" s="89">
        <f t="shared" ref="D266:J266" si="71">$B$266*$C$266*12*D124</f>
        <v>0</v>
      </c>
      <c r="E266" s="89">
        <f t="shared" si="71"/>
        <v>0</v>
      </c>
      <c r="F266" s="89">
        <f t="shared" si="71"/>
        <v>0</v>
      </c>
      <c r="G266" s="89">
        <f t="shared" si="71"/>
        <v>0</v>
      </c>
      <c r="H266" s="89">
        <f t="shared" si="71"/>
        <v>0</v>
      </c>
      <c r="I266" s="89">
        <f t="shared" si="71"/>
        <v>0</v>
      </c>
      <c r="J266" s="89">
        <f t="shared" si="71"/>
        <v>0</v>
      </c>
      <c r="K266" s="87"/>
      <c r="L266" s="87"/>
      <c r="M266" s="87"/>
      <c r="N266" s="87"/>
      <c r="O266" s="87"/>
      <c r="P266" s="87"/>
      <c r="Q266" s="87"/>
      <c r="R266" s="87"/>
      <c r="S266" s="87"/>
      <c r="T266" s="87"/>
      <c r="U266" s="87"/>
      <c r="V266" s="87"/>
      <c r="W266" s="87"/>
    </row>
    <row r="267" spans="1:23">
      <c r="A267" s="88" t="s">
        <v>195</v>
      </c>
      <c r="B267" s="217">
        <v>1</v>
      </c>
      <c r="C267" s="229"/>
      <c r="D267" s="89">
        <f t="shared" ref="D267:J267" si="72">$B$267*$C$267*12*D124</f>
        <v>0</v>
      </c>
      <c r="E267" s="89">
        <f t="shared" si="72"/>
        <v>0</v>
      </c>
      <c r="F267" s="89">
        <f t="shared" si="72"/>
        <v>0</v>
      </c>
      <c r="G267" s="89">
        <f t="shared" si="72"/>
        <v>0</v>
      </c>
      <c r="H267" s="89">
        <f t="shared" si="72"/>
        <v>0</v>
      </c>
      <c r="I267" s="89">
        <f t="shared" si="72"/>
        <v>0</v>
      </c>
      <c r="J267" s="89">
        <f t="shared" si="72"/>
        <v>0</v>
      </c>
      <c r="K267" s="87"/>
      <c r="L267" s="87"/>
      <c r="M267" s="87"/>
      <c r="N267" s="87"/>
      <c r="O267" s="87"/>
      <c r="P267" s="87"/>
      <c r="Q267" s="87"/>
      <c r="R267" s="87"/>
      <c r="S267" s="87"/>
      <c r="T267" s="87"/>
      <c r="U267" s="87"/>
      <c r="V267" s="87"/>
      <c r="W267" s="87"/>
    </row>
    <row r="268" spans="1:23">
      <c r="A268" s="88" t="s">
        <v>334</v>
      </c>
      <c r="B268" s="88">
        <v>12</v>
      </c>
      <c r="C268" s="229"/>
      <c r="D268" s="89">
        <f t="shared" ref="D268:J268" si="73">$B$268*$C$268*D124</f>
        <v>0</v>
      </c>
      <c r="E268" s="89">
        <f t="shared" si="73"/>
        <v>0</v>
      </c>
      <c r="F268" s="89">
        <f t="shared" si="73"/>
        <v>0</v>
      </c>
      <c r="G268" s="89">
        <f t="shared" si="73"/>
        <v>0</v>
      </c>
      <c r="H268" s="89">
        <f t="shared" si="73"/>
        <v>0</v>
      </c>
      <c r="I268" s="89">
        <f t="shared" si="73"/>
        <v>0</v>
      </c>
      <c r="J268" s="89">
        <f t="shared" si="73"/>
        <v>0</v>
      </c>
      <c r="K268" s="87"/>
      <c r="L268" s="87"/>
      <c r="M268" s="87"/>
      <c r="N268" s="87"/>
      <c r="O268" s="87"/>
      <c r="P268" s="87"/>
      <c r="Q268" s="87"/>
      <c r="R268" s="87"/>
      <c r="S268" s="87"/>
      <c r="T268" s="87"/>
      <c r="U268" s="87"/>
      <c r="V268" s="87"/>
      <c r="W268" s="87"/>
    </row>
    <row r="269" spans="1:23">
      <c r="A269" s="88"/>
      <c r="B269" s="88"/>
      <c r="C269" s="229"/>
      <c r="D269" s="89"/>
      <c r="E269" s="89"/>
      <c r="F269" s="89"/>
      <c r="G269" s="89"/>
      <c r="H269" s="89"/>
      <c r="I269" s="89"/>
      <c r="J269" s="89"/>
      <c r="K269" s="87"/>
      <c r="L269" s="87"/>
      <c r="M269" s="87"/>
      <c r="N269" s="87"/>
      <c r="O269" s="87"/>
      <c r="P269" s="87"/>
      <c r="Q269" s="87"/>
      <c r="R269" s="87"/>
      <c r="S269" s="87"/>
      <c r="T269" s="87"/>
      <c r="U269" s="87"/>
      <c r="V269" s="87"/>
      <c r="W269" s="87"/>
    </row>
    <row r="270" spans="1:23">
      <c r="A270" s="88"/>
      <c r="B270" s="88"/>
      <c r="C270" s="229"/>
      <c r="D270" s="89"/>
      <c r="E270" s="89"/>
      <c r="F270" s="89"/>
      <c r="G270" s="89"/>
      <c r="H270" s="89"/>
      <c r="I270" s="89"/>
      <c r="J270" s="89"/>
      <c r="K270" s="87"/>
      <c r="L270" s="87"/>
      <c r="M270" s="87"/>
      <c r="N270" s="87"/>
      <c r="O270" s="87"/>
      <c r="P270" s="87"/>
      <c r="Q270" s="87"/>
      <c r="R270" s="87"/>
      <c r="S270" s="87"/>
      <c r="T270" s="87"/>
      <c r="U270" s="87"/>
      <c r="V270" s="87"/>
      <c r="W270" s="87"/>
    </row>
    <row r="271" spans="1:23">
      <c r="A271" s="88"/>
      <c r="B271" s="88"/>
      <c r="C271" s="229"/>
      <c r="D271" s="89"/>
      <c r="E271" s="89"/>
      <c r="F271" s="89"/>
      <c r="G271" s="89"/>
      <c r="H271" s="89"/>
      <c r="I271" s="89"/>
      <c r="J271" s="89"/>
      <c r="K271" s="87"/>
      <c r="L271" s="87"/>
      <c r="M271" s="87"/>
      <c r="N271" s="87"/>
      <c r="O271" s="87"/>
      <c r="P271" s="87"/>
      <c r="Q271" s="87"/>
      <c r="R271" s="87"/>
      <c r="S271" s="87"/>
      <c r="T271" s="87"/>
      <c r="U271" s="87"/>
      <c r="V271" s="87"/>
      <c r="W271" s="87"/>
    </row>
    <row r="272" spans="1:23">
      <c r="A272" s="88"/>
      <c r="B272" s="88"/>
      <c r="C272" s="229"/>
      <c r="D272" s="89"/>
      <c r="E272" s="89"/>
      <c r="F272" s="89"/>
      <c r="G272" s="89"/>
      <c r="H272" s="89"/>
      <c r="I272" s="89"/>
      <c r="J272" s="89"/>
      <c r="K272" s="87"/>
      <c r="L272" s="87"/>
      <c r="M272" s="87"/>
      <c r="N272" s="87"/>
      <c r="O272" s="87"/>
      <c r="P272" s="87"/>
      <c r="Q272" s="87"/>
      <c r="R272" s="87"/>
      <c r="S272" s="87"/>
      <c r="T272" s="87"/>
      <c r="U272" s="87"/>
      <c r="V272" s="87"/>
      <c r="W272" s="87"/>
    </row>
    <row r="273" spans="1:23">
      <c r="A273" s="90" t="s">
        <v>331</v>
      </c>
      <c r="B273" s="90"/>
      <c r="C273" s="108"/>
      <c r="D273" s="108">
        <f>SUM(D265:D272)</f>
        <v>0</v>
      </c>
      <c r="E273" s="108">
        <f t="shared" ref="E273:J273" si="74">SUM(E265:E272)</f>
        <v>0</v>
      </c>
      <c r="F273" s="108">
        <f t="shared" si="74"/>
        <v>0</v>
      </c>
      <c r="G273" s="108">
        <f t="shared" si="74"/>
        <v>0</v>
      </c>
      <c r="H273" s="108">
        <f t="shared" si="74"/>
        <v>0</v>
      </c>
      <c r="I273" s="108">
        <f t="shared" si="74"/>
        <v>0</v>
      </c>
      <c r="J273" s="108">
        <f t="shared" si="74"/>
        <v>0</v>
      </c>
      <c r="K273" s="87"/>
      <c r="L273" s="87"/>
      <c r="M273" s="87"/>
      <c r="N273" s="87"/>
      <c r="O273" s="87"/>
      <c r="P273" s="87"/>
      <c r="Q273" s="87"/>
      <c r="R273" s="87"/>
      <c r="S273" s="87"/>
      <c r="T273" s="87"/>
      <c r="U273" s="87"/>
      <c r="V273" s="87"/>
      <c r="W273" s="87"/>
    </row>
    <row r="274" spans="1:23">
      <c r="A274" s="189" t="s">
        <v>136</v>
      </c>
      <c r="B274" s="189"/>
      <c r="C274" s="202"/>
      <c r="D274" s="108">
        <f t="shared" ref="D274:J274" si="75">D262+D273</f>
        <v>0</v>
      </c>
      <c r="E274" s="108">
        <f t="shared" si="75"/>
        <v>0</v>
      </c>
      <c r="F274" s="108">
        <f t="shared" si="75"/>
        <v>0</v>
      </c>
      <c r="G274" s="108">
        <f t="shared" si="75"/>
        <v>0</v>
      </c>
      <c r="H274" s="108">
        <f t="shared" si="75"/>
        <v>0</v>
      </c>
      <c r="I274" s="108">
        <f t="shared" si="75"/>
        <v>0</v>
      </c>
      <c r="J274" s="108">
        <f t="shared" si="75"/>
        <v>0</v>
      </c>
      <c r="K274" s="87"/>
      <c r="L274" s="87"/>
      <c r="M274" s="87"/>
      <c r="N274" s="87"/>
      <c r="O274" s="87"/>
      <c r="P274" s="87"/>
      <c r="Q274" s="87"/>
      <c r="R274" s="87"/>
      <c r="S274" s="87"/>
      <c r="T274" s="87"/>
      <c r="U274" s="87"/>
      <c r="V274" s="87"/>
      <c r="W274" s="87"/>
    </row>
    <row r="275" spans="1:23">
      <c r="A275" s="88"/>
      <c r="B275" s="88"/>
      <c r="C275" s="89"/>
      <c r="D275" s="89"/>
      <c r="E275" s="89"/>
      <c r="F275" s="89"/>
      <c r="G275" s="89"/>
      <c r="H275" s="89"/>
      <c r="I275" s="89"/>
      <c r="J275" s="89"/>
      <c r="K275" s="87"/>
      <c r="L275" s="87"/>
      <c r="M275" s="87"/>
      <c r="N275" s="87"/>
      <c r="O275" s="87"/>
      <c r="P275" s="87"/>
      <c r="Q275" s="87"/>
      <c r="R275" s="87"/>
      <c r="S275" s="87"/>
      <c r="T275" s="87"/>
      <c r="U275" s="87"/>
      <c r="V275" s="87"/>
      <c r="W275" s="87"/>
    </row>
    <row r="276" spans="1:23">
      <c r="A276" s="189" t="s">
        <v>7</v>
      </c>
      <c r="B276" s="189"/>
      <c r="C276" s="202"/>
      <c r="D276" s="108">
        <f t="shared" ref="D276:J276" si="76">D191-D274</f>
        <v>0</v>
      </c>
      <c r="E276" s="108">
        <f t="shared" si="76"/>
        <v>0</v>
      </c>
      <c r="F276" s="108">
        <f t="shared" si="76"/>
        <v>0</v>
      </c>
      <c r="G276" s="108">
        <f t="shared" si="76"/>
        <v>0</v>
      </c>
      <c r="H276" s="108">
        <f t="shared" si="76"/>
        <v>0</v>
      </c>
      <c r="I276" s="108">
        <f t="shared" si="76"/>
        <v>0</v>
      </c>
      <c r="J276" s="108">
        <f t="shared" si="76"/>
        <v>0</v>
      </c>
      <c r="K276" s="87"/>
      <c r="L276" s="87"/>
      <c r="M276" s="87"/>
      <c r="N276" s="87"/>
      <c r="O276" s="87"/>
      <c r="P276" s="87"/>
      <c r="Q276" s="87"/>
      <c r="R276" s="87"/>
      <c r="S276" s="87"/>
      <c r="T276" s="87"/>
      <c r="U276" s="87"/>
      <c r="V276" s="87"/>
      <c r="W276" s="87"/>
    </row>
    <row r="277" spans="1:23">
      <c r="A277" s="109"/>
      <c r="B277" s="109"/>
      <c r="C277" s="109"/>
      <c r="D277" s="87"/>
      <c r="E277" s="87"/>
      <c r="F277" s="87"/>
      <c r="G277" s="87"/>
      <c r="H277" s="87"/>
      <c r="I277" s="87"/>
      <c r="J277" s="87"/>
      <c r="K277" s="87"/>
      <c r="L277" s="87"/>
      <c r="M277" s="87"/>
      <c r="N277" s="87"/>
      <c r="O277" s="87"/>
      <c r="P277" s="87"/>
      <c r="Q277" s="87"/>
      <c r="R277" s="87"/>
      <c r="S277" s="87"/>
      <c r="T277" s="87"/>
      <c r="U277" s="87"/>
      <c r="V277" s="87"/>
      <c r="W277" s="87"/>
    </row>
    <row r="278" spans="1:23">
      <c r="A278" s="87"/>
      <c r="B278" s="87"/>
      <c r="C278" s="87"/>
      <c r="D278" s="87"/>
      <c r="E278" s="87"/>
      <c r="F278" s="87"/>
      <c r="G278" s="87"/>
      <c r="H278" s="87"/>
      <c r="I278" s="87"/>
      <c r="J278" s="87"/>
      <c r="K278" s="87"/>
      <c r="L278" s="87"/>
      <c r="M278" s="87"/>
      <c r="N278" s="87"/>
      <c r="O278" s="87"/>
      <c r="P278" s="87"/>
      <c r="Q278" s="87"/>
      <c r="R278" s="87"/>
      <c r="S278" s="87"/>
      <c r="T278" s="87"/>
      <c r="U278" s="87"/>
      <c r="V278" s="87"/>
      <c r="W278" s="87"/>
    </row>
    <row r="279" spans="1:23">
      <c r="A279" s="417" t="s">
        <v>431</v>
      </c>
      <c r="B279" s="417"/>
      <c r="C279" s="417"/>
      <c r="D279" s="417"/>
      <c r="E279" s="417"/>
      <c r="F279" s="417"/>
      <c r="G279" s="417"/>
      <c r="H279" s="417"/>
      <c r="I279" s="417"/>
      <c r="J279" s="417"/>
    </row>
    <row r="281" spans="1:23">
      <c r="A281" t="s">
        <v>555</v>
      </c>
    </row>
    <row r="282" spans="1:23">
      <c r="A282">
        <v>1</v>
      </c>
      <c r="B282" t="s">
        <v>568</v>
      </c>
    </row>
    <row r="283" spans="1:23">
      <c r="A283">
        <v>2</v>
      </c>
      <c r="B283" t="s">
        <v>569</v>
      </c>
    </row>
    <row r="284" spans="1:23">
      <c r="A284">
        <v>3</v>
      </c>
      <c r="B284" s="87" t="s">
        <v>621</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6" zoomScale="80" zoomScaleNormal="100" zoomScaleSheetLayoutView="80" workbookViewId="0">
      <selection activeCell="C16" sqref="C16"/>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16" t="s">
        <v>616</v>
      </c>
      <c r="B3" s="416"/>
      <c r="C3" s="416"/>
      <c r="D3" s="416"/>
      <c r="E3" s="416"/>
      <c r="F3" s="416"/>
      <c r="G3" s="416"/>
      <c r="H3" s="416"/>
    </row>
    <row r="4" spans="1:8" ht="17.5">
      <c r="A4" s="416" t="s">
        <v>617</v>
      </c>
      <c r="B4" s="416"/>
      <c r="C4" s="416"/>
      <c r="D4" s="416"/>
      <c r="E4" s="416"/>
      <c r="F4" s="416"/>
      <c r="G4" s="416"/>
      <c r="H4" s="416"/>
    </row>
    <row r="5" spans="1:8">
      <c r="A5" s="87" t="s">
        <v>163</v>
      </c>
      <c r="B5" s="222">
        <v>1</v>
      </c>
      <c r="C5" s="87" t="s">
        <v>485</v>
      </c>
      <c r="D5" s="87"/>
      <c r="E5" s="87"/>
      <c r="F5" s="87"/>
      <c r="G5" s="87"/>
      <c r="H5" s="87"/>
    </row>
    <row r="6" spans="1:8">
      <c r="A6" s="87" t="s">
        <v>164</v>
      </c>
      <c r="B6" s="250">
        <v>8</v>
      </c>
      <c r="C6" s="87"/>
      <c r="D6" s="87"/>
      <c r="E6" s="87"/>
      <c r="F6" s="87"/>
      <c r="G6" s="87"/>
      <c r="H6" s="87"/>
    </row>
    <row r="7" spans="1:8">
      <c r="A7" s="87"/>
      <c r="B7" s="250"/>
      <c r="C7" s="87"/>
      <c r="D7" s="87"/>
      <c r="E7" s="87"/>
      <c r="F7" s="87"/>
      <c r="G7" s="87"/>
      <c r="H7" s="87"/>
    </row>
    <row r="8" spans="1:8">
      <c r="A8" s="87"/>
      <c r="B8" s="250"/>
      <c r="C8" s="87"/>
      <c r="D8" s="87"/>
      <c r="E8" s="87"/>
      <c r="F8" s="87"/>
      <c r="G8" s="87"/>
      <c r="H8" s="87"/>
    </row>
    <row r="9" spans="1:8">
      <c r="A9" s="87"/>
      <c r="B9" s="87"/>
      <c r="C9" s="87"/>
      <c r="D9" s="87"/>
      <c r="E9" s="87"/>
      <c r="F9" s="87"/>
      <c r="G9" s="87"/>
      <c r="H9" s="87"/>
    </row>
    <row r="10" spans="1:8">
      <c r="A10" s="87"/>
      <c r="B10" s="87"/>
      <c r="C10" s="87"/>
      <c r="D10" s="87"/>
      <c r="E10" s="87"/>
      <c r="F10" s="87"/>
      <c r="G10" s="87"/>
      <c r="H10" s="87"/>
    </row>
    <row r="11" spans="1:8">
      <c r="A11" s="75" t="s">
        <v>0</v>
      </c>
      <c r="B11" s="76" t="s">
        <v>2</v>
      </c>
      <c r="C11" s="76" t="s">
        <v>3</v>
      </c>
      <c r="D11" s="76" t="s">
        <v>4</v>
      </c>
      <c r="E11" s="76" t="s">
        <v>5</v>
      </c>
      <c r="F11" s="76" t="s">
        <v>6</v>
      </c>
      <c r="G11" s="76" t="s">
        <v>171</v>
      </c>
      <c r="H11" s="76" t="s">
        <v>170</v>
      </c>
    </row>
    <row r="12" spans="1:8">
      <c r="A12" s="88" t="s">
        <v>172</v>
      </c>
      <c r="B12" s="284">
        <f t="shared" ref="B12:H12" si="0">B39/($B$5*$B$6)</f>
        <v>0</v>
      </c>
      <c r="C12" s="284">
        <f t="shared" si="0"/>
        <v>0</v>
      </c>
      <c r="D12" s="284">
        <f t="shared" si="0"/>
        <v>0</v>
      </c>
      <c r="E12" s="284">
        <f t="shared" si="0"/>
        <v>0</v>
      </c>
      <c r="F12" s="284">
        <f t="shared" si="0"/>
        <v>0</v>
      </c>
      <c r="G12" s="284">
        <f t="shared" si="0"/>
        <v>0</v>
      </c>
      <c r="H12" s="284">
        <f t="shared" si="0"/>
        <v>0</v>
      </c>
    </row>
    <row r="13" spans="1:8">
      <c r="A13" s="88" t="str">
        <f>'11.F&amp;V Crop Production details'!A74</f>
        <v>Onion</v>
      </c>
      <c r="B13" s="88">
        <f>'11.F&amp;V Crop Production details'!B74</f>
        <v>0</v>
      </c>
      <c r="C13" s="88">
        <f>'11.F&amp;V Crop Production details'!C74</f>
        <v>0</v>
      </c>
      <c r="D13" s="88">
        <f>'11.F&amp;V Crop Production details'!D74</f>
        <v>0</v>
      </c>
      <c r="E13" s="88">
        <f>'11.F&amp;V Crop Production details'!E74</f>
        <v>0</v>
      </c>
      <c r="F13" s="88">
        <f>'11.F&amp;V Crop Production details'!F74</f>
        <v>0</v>
      </c>
      <c r="G13" s="88">
        <f>'11.F&amp;V Crop Production details'!G74</f>
        <v>0</v>
      </c>
      <c r="H13" s="88">
        <f>'11.F&amp;V Crop Production details'!H74</f>
        <v>0</v>
      </c>
    </row>
    <row r="14" spans="1:8">
      <c r="A14" s="88" t="str">
        <f>'11.F&amp;V Crop Production details'!A75</f>
        <v>Tomato</v>
      </c>
      <c r="B14" s="88">
        <f>'11.F&amp;V Crop Production details'!B75</f>
        <v>0</v>
      </c>
      <c r="C14" s="88">
        <f>'11.F&amp;V Crop Production details'!C75</f>
        <v>0</v>
      </c>
      <c r="D14" s="88">
        <f>'11.F&amp;V Crop Production details'!D75</f>
        <v>0</v>
      </c>
      <c r="E14" s="88">
        <f>'11.F&amp;V Crop Production details'!E75</f>
        <v>0</v>
      </c>
      <c r="F14" s="88">
        <f>'11.F&amp;V Crop Production details'!F75</f>
        <v>0</v>
      </c>
      <c r="G14" s="88">
        <f>'11.F&amp;V Crop Production details'!G75</f>
        <v>0</v>
      </c>
      <c r="H14" s="88">
        <f>'11.F&amp;V Crop Production details'!H75</f>
        <v>0</v>
      </c>
    </row>
    <row r="15" spans="1:8">
      <c r="A15" s="88" t="str">
        <f>'11.F&amp;V Crop Production details'!A76</f>
        <v>Okra</v>
      </c>
      <c r="B15" s="88">
        <f>'11.F&amp;V Crop Production details'!B76</f>
        <v>0</v>
      </c>
      <c r="C15" s="88">
        <f>'11.F&amp;V Crop Production details'!C76</f>
        <v>0</v>
      </c>
      <c r="D15" s="88">
        <f>'11.F&amp;V Crop Production details'!D76</f>
        <v>0</v>
      </c>
      <c r="E15" s="88">
        <f>'11.F&amp;V Crop Production details'!E76</f>
        <v>0</v>
      </c>
      <c r="F15" s="88">
        <f>'11.F&amp;V Crop Production details'!F76</f>
        <v>0</v>
      </c>
      <c r="G15" s="88">
        <f>'11.F&amp;V Crop Production details'!G76</f>
        <v>0</v>
      </c>
      <c r="H15" s="88">
        <f>'11.F&amp;V Crop Production details'!H76</f>
        <v>0</v>
      </c>
    </row>
    <row r="16" spans="1:8">
      <c r="A16" s="88" t="str">
        <f>'11.F&amp;V Crop Production details'!A77</f>
        <v>Chilli</v>
      </c>
      <c r="B16" s="88">
        <f>'11.F&amp;V Crop Production details'!B77</f>
        <v>0</v>
      </c>
      <c r="C16" s="88" t="s">
        <v>711</v>
      </c>
      <c r="D16" s="88">
        <f>'11.F&amp;V Crop Production details'!D77</f>
        <v>0</v>
      </c>
      <c r="E16" s="88">
        <f>'11.F&amp;V Crop Production details'!E77</f>
        <v>0</v>
      </c>
      <c r="F16" s="88">
        <f>'11.F&amp;V Crop Production details'!F77</f>
        <v>0</v>
      </c>
      <c r="G16" s="88">
        <f>'11.F&amp;V Crop Production details'!G77</f>
        <v>0</v>
      </c>
      <c r="H16" s="88">
        <f>'11.F&amp;V Crop Production details'!H77</f>
        <v>0</v>
      </c>
    </row>
    <row r="17" spans="1:8">
      <c r="A17" s="88" t="str">
        <f>'11.F&amp;V Crop Production details'!A78</f>
        <v>Potato</v>
      </c>
      <c r="B17" s="88">
        <f>'11.F&amp;V Crop Production details'!B78</f>
        <v>0</v>
      </c>
      <c r="C17" s="88">
        <f>'11.F&amp;V Crop Production details'!C78</f>
        <v>0</v>
      </c>
      <c r="D17" s="88">
        <f>'11.F&amp;V Crop Production details'!D78</f>
        <v>0</v>
      </c>
      <c r="E17" s="88">
        <f>'11.F&amp;V Crop Production details'!E78</f>
        <v>0</v>
      </c>
      <c r="F17" s="88">
        <f>'11.F&amp;V Crop Production details'!F78</f>
        <v>0</v>
      </c>
      <c r="G17" s="88">
        <f>'11.F&amp;V Crop Production details'!G78</f>
        <v>0</v>
      </c>
      <c r="H17" s="88">
        <f>'11.F&amp;V Crop Production details'!H78</f>
        <v>0</v>
      </c>
    </row>
    <row r="18" spans="1:8">
      <c r="A18" s="88">
        <f>'11.F&amp;V Crop Production details'!A79</f>
        <v>0</v>
      </c>
      <c r="B18" s="88">
        <f>'11.F&amp;V Crop Production details'!B79</f>
        <v>0</v>
      </c>
      <c r="C18" s="88">
        <f>'11.F&amp;V Crop Production details'!C79</f>
        <v>0</v>
      </c>
      <c r="D18" s="88">
        <f>'11.F&amp;V Crop Production details'!D79</f>
        <v>0</v>
      </c>
      <c r="E18" s="88">
        <f>'11.F&amp;V Crop Production details'!E79</f>
        <v>0</v>
      </c>
      <c r="F18" s="88">
        <f>'11.F&amp;V Crop Production details'!F79</f>
        <v>0</v>
      </c>
      <c r="G18" s="88">
        <f>'11.F&amp;V Crop Production details'!G79</f>
        <v>0</v>
      </c>
      <c r="H18" s="88">
        <f>'11.F&amp;V Crop Production details'!H79</f>
        <v>0</v>
      </c>
    </row>
    <row r="19" spans="1:8">
      <c r="A19" s="88">
        <f>'11.F&amp;V Crop Production details'!A80</f>
        <v>0</v>
      </c>
      <c r="B19" s="88">
        <f>'11.F&amp;V Crop Production details'!B80</f>
        <v>0</v>
      </c>
      <c r="C19" s="88">
        <f>'11.F&amp;V Crop Production details'!C80</f>
        <v>0</v>
      </c>
      <c r="D19" s="88">
        <f>'11.F&amp;V Crop Production details'!D80</f>
        <v>0</v>
      </c>
      <c r="E19" s="88">
        <f>'11.F&amp;V Crop Production details'!E80</f>
        <v>0</v>
      </c>
      <c r="F19" s="88">
        <f>'11.F&amp;V Crop Production details'!F80</f>
        <v>0</v>
      </c>
      <c r="G19" s="88">
        <f>'11.F&amp;V Crop Production details'!G80</f>
        <v>0</v>
      </c>
      <c r="H19" s="88">
        <f>'11.F&amp;V Crop Production details'!H80</f>
        <v>0</v>
      </c>
    </row>
    <row r="20" spans="1:8">
      <c r="A20" s="88">
        <f>'11.F&amp;V Crop Production details'!A81</f>
        <v>0</v>
      </c>
      <c r="B20" s="88">
        <f>'11.F&amp;V Crop Production details'!B81</f>
        <v>0</v>
      </c>
      <c r="C20" s="88">
        <f>'11.F&amp;V Crop Production details'!C81</f>
        <v>0</v>
      </c>
      <c r="D20" s="88">
        <f>'11.F&amp;V Crop Production details'!D81</f>
        <v>0</v>
      </c>
      <c r="E20" s="88">
        <f>'11.F&amp;V Crop Production details'!E81</f>
        <v>0</v>
      </c>
      <c r="F20" s="88">
        <f>'11.F&amp;V Crop Production details'!F81</f>
        <v>0</v>
      </c>
      <c r="G20" s="88">
        <f>'11.F&amp;V Crop Production details'!G81</f>
        <v>0</v>
      </c>
      <c r="H20" s="88">
        <f>'11.F&amp;V Crop Production details'!H81</f>
        <v>0</v>
      </c>
    </row>
    <row r="21" spans="1:8">
      <c r="A21" s="88">
        <f>'11.F&amp;V Crop Production details'!A82</f>
        <v>0</v>
      </c>
      <c r="B21" s="88">
        <f>'11.F&amp;V Crop Production details'!B82</f>
        <v>0</v>
      </c>
      <c r="C21" s="88">
        <f>'11.F&amp;V Crop Production details'!C82</f>
        <v>0</v>
      </c>
      <c r="D21" s="88">
        <f>'11.F&amp;V Crop Production details'!D82</f>
        <v>0</v>
      </c>
      <c r="E21" s="88">
        <f>'11.F&amp;V Crop Production details'!E82</f>
        <v>0</v>
      </c>
      <c r="F21" s="88">
        <f>'11.F&amp;V Crop Production details'!F82</f>
        <v>0</v>
      </c>
      <c r="G21" s="88">
        <f>'11.F&amp;V Crop Production details'!G82</f>
        <v>0</v>
      </c>
      <c r="H21" s="88">
        <f>'11.F&amp;V Crop Production details'!H82</f>
        <v>0</v>
      </c>
    </row>
    <row r="22" spans="1:8">
      <c r="A22" s="88" t="str">
        <f>'11.F&amp;V Crop Production details'!A83</f>
        <v>Onion</v>
      </c>
      <c r="B22" s="88">
        <f>'11.F&amp;V Crop Production details'!B83</f>
        <v>0</v>
      </c>
      <c r="C22" s="88">
        <f>'11.F&amp;V Crop Production details'!C83</f>
        <v>0</v>
      </c>
      <c r="D22" s="88">
        <f>'11.F&amp;V Crop Production details'!D83</f>
        <v>0</v>
      </c>
      <c r="E22" s="88">
        <f>'11.F&amp;V Crop Production details'!E83</f>
        <v>0</v>
      </c>
      <c r="F22" s="88">
        <f>'11.F&amp;V Crop Production details'!F83</f>
        <v>0</v>
      </c>
      <c r="G22" s="88">
        <f>'11.F&amp;V Crop Production details'!G83</f>
        <v>0</v>
      </c>
      <c r="H22" s="88">
        <f>'11.F&amp;V Crop Production details'!H83</f>
        <v>0</v>
      </c>
    </row>
    <row r="23" spans="1:8">
      <c r="A23" s="88" t="str">
        <f>'11.F&amp;V Crop Production details'!A84</f>
        <v>Tomato</v>
      </c>
      <c r="B23" s="88">
        <f>'11.F&amp;V Crop Production details'!B84</f>
        <v>0</v>
      </c>
      <c r="C23" s="88">
        <f>'11.F&amp;V Crop Production details'!C84</f>
        <v>0</v>
      </c>
      <c r="D23" s="88">
        <f>'11.F&amp;V Crop Production details'!D84</f>
        <v>0</v>
      </c>
      <c r="E23" s="88">
        <f>'11.F&amp;V Crop Production details'!E84</f>
        <v>0</v>
      </c>
      <c r="F23" s="88">
        <f>'11.F&amp;V Crop Production details'!F84</f>
        <v>0</v>
      </c>
      <c r="G23" s="88">
        <f>'11.F&amp;V Crop Production details'!G84</f>
        <v>0</v>
      </c>
      <c r="H23" s="88">
        <f>'11.F&amp;V Crop Production details'!H84</f>
        <v>0</v>
      </c>
    </row>
    <row r="24" spans="1:8">
      <c r="A24" s="88" t="str">
        <f>'11.F&amp;V Crop Production details'!A85</f>
        <v>Okra</v>
      </c>
      <c r="B24" s="88">
        <f>'11.F&amp;V Crop Production details'!B85</f>
        <v>0</v>
      </c>
      <c r="C24" s="88">
        <f>'11.F&amp;V Crop Production details'!C85</f>
        <v>0</v>
      </c>
      <c r="D24" s="88">
        <f>'11.F&amp;V Crop Production details'!D85</f>
        <v>0</v>
      </c>
      <c r="E24" s="88">
        <f>'11.F&amp;V Crop Production details'!E85</f>
        <v>0</v>
      </c>
      <c r="F24" s="88">
        <f>'11.F&amp;V Crop Production details'!F85</f>
        <v>0</v>
      </c>
      <c r="G24" s="88">
        <f>'11.F&amp;V Crop Production details'!G85</f>
        <v>0</v>
      </c>
      <c r="H24" s="88">
        <f>'11.F&amp;V Crop Production details'!H85</f>
        <v>0</v>
      </c>
    </row>
    <row r="25" spans="1:8">
      <c r="A25" s="88" t="str">
        <f>'11.F&amp;V Crop Production details'!A86</f>
        <v>Chilli</v>
      </c>
      <c r="B25" s="88">
        <f>'11.F&amp;V Crop Production details'!B86</f>
        <v>0</v>
      </c>
      <c r="C25" s="88">
        <f>'11.F&amp;V Crop Production details'!C86</f>
        <v>0</v>
      </c>
      <c r="D25" s="88">
        <f>'11.F&amp;V Crop Production details'!D86</f>
        <v>0</v>
      </c>
      <c r="E25" s="88">
        <f>'11.F&amp;V Crop Production details'!E86</f>
        <v>0</v>
      </c>
      <c r="F25" s="88">
        <f>'11.F&amp;V Crop Production details'!F86</f>
        <v>0</v>
      </c>
      <c r="G25" s="88">
        <f>'11.F&amp;V Crop Production details'!G86</f>
        <v>0</v>
      </c>
      <c r="H25" s="88">
        <f>'11.F&amp;V Crop Production details'!H86</f>
        <v>0</v>
      </c>
    </row>
    <row r="26" spans="1:8">
      <c r="A26" s="88" t="str">
        <f>'11.F&amp;V Crop Production details'!A87</f>
        <v>Brinjal</v>
      </c>
      <c r="B26" s="88">
        <f>'11.F&amp;V Crop Production details'!B87</f>
        <v>0</v>
      </c>
      <c r="C26" s="88">
        <f>'11.F&amp;V Crop Production details'!C87</f>
        <v>0</v>
      </c>
      <c r="D26" s="88">
        <f>'11.F&amp;V Crop Production details'!D87</f>
        <v>0</v>
      </c>
      <c r="E26" s="88">
        <f>'11.F&amp;V Crop Production details'!E87</f>
        <v>0</v>
      </c>
      <c r="F26" s="88">
        <f>'11.F&amp;V Crop Production details'!F87</f>
        <v>0</v>
      </c>
      <c r="G26" s="88">
        <f>'11.F&amp;V Crop Production details'!G87</f>
        <v>0</v>
      </c>
      <c r="H26" s="88">
        <f>'11.F&amp;V Crop Production details'!H87</f>
        <v>0</v>
      </c>
    </row>
    <row r="27" spans="1:8">
      <c r="A27" s="88">
        <f>'11.F&amp;V Crop Production details'!A88</f>
        <v>0</v>
      </c>
      <c r="B27" s="88">
        <f>'11.F&amp;V Crop Production details'!B88</f>
        <v>0</v>
      </c>
      <c r="C27" s="88">
        <f>'11.F&amp;V Crop Production details'!C88</f>
        <v>0</v>
      </c>
      <c r="D27" s="88">
        <f>'11.F&amp;V Crop Production details'!D88</f>
        <v>0</v>
      </c>
      <c r="E27" s="88">
        <f>'11.F&amp;V Crop Production details'!E88</f>
        <v>0</v>
      </c>
      <c r="F27" s="88">
        <f>'11.F&amp;V Crop Production details'!F88</f>
        <v>0</v>
      </c>
      <c r="G27" s="88">
        <f>'11.F&amp;V Crop Production details'!G88</f>
        <v>0</v>
      </c>
      <c r="H27" s="88">
        <f>'11.F&amp;V Crop Production details'!H88</f>
        <v>0</v>
      </c>
    </row>
    <row r="28" spans="1:8">
      <c r="A28" s="88">
        <f>'11.F&amp;V Crop Production details'!A89</f>
        <v>0</v>
      </c>
      <c r="B28" s="88">
        <f>'11.F&amp;V Crop Production details'!B89</f>
        <v>0</v>
      </c>
      <c r="C28" s="88">
        <f>'11.F&amp;V Crop Production details'!C89</f>
        <v>0</v>
      </c>
      <c r="D28" s="88">
        <f>'11.F&amp;V Crop Production details'!D89</f>
        <v>0</v>
      </c>
      <c r="E28" s="88">
        <f>'11.F&amp;V Crop Production details'!E89</f>
        <v>0</v>
      </c>
      <c r="F28" s="88">
        <f>'11.F&amp;V Crop Production details'!F89</f>
        <v>0</v>
      </c>
      <c r="G28" s="88">
        <f>'11.F&amp;V Crop Production details'!G89</f>
        <v>0</v>
      </c>
      <c r="H28" s="88">
        <f>'11.F&amp;V Crop Production details'!H89</f>
        <v>0</v>
      </c>
    </row>
    <row r="29" spans="1:8">
      <c r="A29" s="88">
        <f>'11.F&amp;V Crop Production details'!A90</f>
        <v>0</v>
      </c>
      <c r="B29" s="88">
        <f>'11.F&amp;V Crop Production details'!B90</f>
        <v>0</v>
      </c>
      <c r="C29" s="88">
        <f>'11.F&amp;V Crop Production details'!C90</f>
        <v>0</v>
      </c>
      <c r="D29" s="88">
        <f>'11.F&amp;V Crop Production details'!D90</f>
        <v>0</v>
      </c>
      <c r="E29" s="88">
        <f>'11.F&amp;V Crop Production details'!E90</f>
        <v>0</v>
      </c>
      <c r="F29" s="88">
        <f>'11.F&amp;V Crop Production details'!F90</f>
        <v>0</v>
      </c>
      <c r="G29" s="88">
        <f>'11.F&amp;V Crop Production details'!G90</f>
        <v>0</v>
      </c>
      <c r="H29" s="88">
        <f>'11.F&amp;V Crop Production details'!H90</f>
        <v>0</v>
      </c>
    </row>
    <row r="30" spans="1:8">
      <c r="A30" s="88">
        <f>'11.F&amp;V Crop Production details'!A91</f>
        <v>0</v>
      </c>
      <c r="B30" s="88">
        <f>'11.F&amp;V Crop Production details'!B91</f>
        <v>0</v>
      </c>
      <c r="C30" s="88">
        <f>'11.F&amp;V Crop Production details'!C91</f>
        <v>0</v>
      </c>
      <c r="D30" s="88">
        <f>'11.F&amp;V Crop Production details'!D91</f>
        <v>0</v>
      </c>
      <c r="E30" s="88">
        <f>'11.F&amp;V Crop Production details'!E91</f>
        <v>0</v>
      </c>
      <c r="F30" s="88">
        <f>'11.F&amp;V Crop Production details'!F91</f>
        <v>0</v>
      </c>
      <c r="G30" s="88">
        <f>'11.F&amp;V Crop Production details'!G91</f>
        <v>0</v>
      </c>
      <c r="H30" s="88">
        <f>'11.F&amp;V Crop Production details'!H91</f>
        <v>0</v>
      </c>
    </row>
    <row r="31" spans="1:8">
      <c r="A31" s="88">
        <f>'11.F&amp;V Crop Production details'!A92</f>
        <v>0</v>
      </c>
      <c r="B31" s="88">
        <f>'11.F&amp;V Crop Production details'!B92</f>
        <v>0</v>
      </c>
      <c r="C31" s="88">
        <f>'11.F&amp;V Crop Production details'!C92</f>
        <v>0</v>
      </c>
      <c r="D31" s="88">
        <f>'11.F&amp;V Crop Production details'!D92</f>
        <v>0</v>
      </c>
      <c r="E31" s="88">
        <f>'11.F&amp;V Crop Production details'!E92</f>
        <v>0</v>
      </c>
      <c r="F31" s="88">
        <f>'11.F&amp;V Crop Production details'!F92</f>
        <v>0</v>
      </c>
      <c r="G31" s="88">
        <f>'11.F&amp;V Crop Production details'!G92</f>
        <v>0</v>
      </c>
      <c r="H31" s="88">
        <f>'11.F&amp;V Crop Production details'!H92</f>
        <v>0</v>
      </c>
    </row>
    <row r="32" spans="1:8">
      <c r="A32" s="88">
        <f>'11.F&amp;V Crop Production details'!A93</f>
        <v>0</v>
      </c>
      <c r="B32" s="88">
        <f>'11.F&amp;V Crop Production details'!B93</f>
        <v>0</v>
      </c>
      <c r="C32" s="88">
        <f>'11.F&amp;V Crop Production details'!C93</f>
        <v>0</v>
      </c>
      <c r="D32" s="88">
        <f>'11.F&amp;V Crop Production details'!D93</f>
        <v>0</v>
      </c>
      <c r="E32" s="88">
        <f>'11.F&amp;V Crop Production details'!E93</f>
        <v>0</v>
      </c>
      <c r="F32" s="88">
        <f>'11.F&amp;V Crop Production details'!F93</f>
        <v>0</v>
      </c>
      <c r="G32" s="88">
        <f>'11.F&amp;V Crop Production details'!G93</f>
        <v>0</v>
      </c>
      <c r="H32" s="88">
        <f>'11.F&amp;V Crop Production details'!H93</f>
        <v>0</v>
      </c>
    </row>
    <row r="33" spans="1:8">
      <c r="A33" s="88">
        <f>'11.F&amp;V Crop Production details'!A94</f>
        <v>0</v>
      </c>
      <c r="B33" s="88">
        <f>'11.F&amp;V Crop Production details'!B94</f>
        <v>0</v>
      </c>
      <c r="C33" s="88">
        <f>'11.F&amp;V Crop Production details'!C94</f>
        <v>0</v>
      </c>
      <c r="D33" s="88">
        <f>'11.F&amp;V Crop Production details'!D94</f>
        <v>0</v>
      </c>
      <c r="E33" s="88">
        <f>'11.F&amp;V Crop Production details'!E94</f>
        <v>0</v>
      </c>
      <c r="F33" s="88">
        <f>'11.F&amp;V Crop Production details'!F94</f>
        <v>0</v>
      </c>
      <c r="G33" s="88">
        <f>'11.F&amp;V Crop Production details'!G94</f>
        <v>0</v>
      </c>
      <c r="H33" s="88">
        <f>'11.F&amp;V Crop Production details'!H94</f>
        <v>0</v>
      </c>
    </row>
    <row r="34" spans="1:8">
      <c r="A34" s="88" t="str">
        <f>'11.F&amp;V Crop Production details'!A95</f>
        <v>Pomegranate</v>
      </c>
      <c r="B34" s="88">
        <f>'11.F&amp;V Crop Production details'!B95</f>
        <v>0</v>
      </c>
      <c r="C34" s="88">
        <f>'11.F&amp;V Crop Production details'!C95</f>
        <v>0</v>
      </c>
      <c r="D34" s="88">
        <f>'11.F&amp;V Crop Production details'!D95</f>
        <v>0</v>
      </c>
      <c r="E34" s="88">
        <f>'11.F&amp;V Crop Production details'!E95</f>
        <v>0</v>
      </c>
      <c r="F34" s="88">
        <f>'11.F&amp;V Crop Production details'!F95</f>
        <v>0</v>
      </c>
      <c r="G34" s="88">
        <f>'11.F&amp;V Crop Production details'!G95</f>
        <v>0</v>
      </c>
      <c r="H34" s="88">
        <f>'11.F&amp;V Crop Production details'!H95</f>
        <v>0</v>
      </c>
    </row>
    <row r="35" spans="1:8">
      <c r="A35" s="88" t="str">
        <f>'11.F&amp;V Crop Production details'!A96</f>
        <v>Custard Apple</v>
      </c>
      <c r="B35" s="88">
        <f>'11.F&amp;V Crop Production details'!B96</f>
        <v>0</v>
      </c>
      <c r="C35" s="88">
        <f>'11.F&amp;V Crop Production details'!C96</f>
        <v>0</v>
      </c>
      <c r="D35" s="88">
        <f>'11.F&amp;V Crop Production details'!D96</f>
        <v>0</v>
      </c>
      <c r="E35" s="88">
        <f>'11.F&amp;V Crop Production details'!E96</f>
        <v>0</v>
      </c>
      <c r="F35" s="88">
        <f>'11.F&amp;V Crop Production details'!F96</f>
        <v>0</v>
      </c>
      <c r="G35" s="88">
        <f>'11.F&amp;V Crop Production details'!G96</f>
        <v>0</v>
      </c>
      <c r="H35" s="88">
        <f>'11.F&amp;V Crop Production details'!H96</f>
        <v>0</v>
      </c>
    </row>
    <row r="36" spans="1:8">
      <c r="A36" s="88" t="str">
        <f>'11.F&amp;V Crop Production details'!A97</f>
        <v>Guava</v>
      </c>
      <c r="B36" s="88">
        <f>'11.F&amp;V Crop Production details'!B97</f>
        <v>0</v>
      </c>
      <c r="C36" s="88">
        <f>'11.F&amp;V Crop Production details'!C97</f>
        <v>0</v>
      </c>
      <c r="D36" s="88">
        <f>'11.F&amp;V Crop Production details'!D97</f>
        <v>0</v>
      </c>
      <c r="E36" s="88">
        <f>'11.F&amp;V Crop Production details'!E97</f>
        <v>0</v>
      </c>
      <c r="F36" s="88">
        <f>'11.F&amp;V Crop Production details'!F97</f>
        <v>0</v>
      </c>
      <c r="G36" s="88">
        <f>'11.F&amp;V Crop Production details'!G97</f>
        <v>0</v>
      </c>
      <c r="H36" s="88">
        <f>'11.F&amp;V Crop Production details'!H97</f>
        <v>0</v>
      </c>
    </row>
    <row r="37" spans="1:8">
      <c r="A37" s="88" t="str">
        <f>'11.F&amp;V Crop Production details'!A98</f>
        <v>Citrus</v>
      </c>
      <c r="B37" s="88">
        <f>'11.F&amp;V Crop Production details'!B98</f>
        <v>0</v>
      </c>
      <c r="C37" s="88">
        <f>'11.F&amp;V Crop Production details'!C98</f>
        <v>0</v>
      </c>
      <c r="D37" s="88">
        <f>'11.F&amp;V Crop Production details'!D98</f>
        <v>0</v>
      </c>
      <c r="E37" s="88">
        <f>'11.F&amp;V Crop Production details'!E98</f>
        <v>0</v>
      </c>
      <c r="F37" s="88">
        <f>'11.F&amp;V Crop Production details'!F98</f>
        <v>0</v>
      </c>
      <c r="G37" s="88">
        <f>'11.F&amp;V Crop Production details'!G98</f>
        <v>0</v>
      </c>
      <c r="H37" s="88">
        <f>'11.F&amp;V Crop Production details'!H98</f>
        <v>0</v>
      </c>
    </row>
    <row r="38" spans="1:8">
      <c r="A38" s="88"/>
      <c r="B38" s="88"/>
      <c r="C38" s="88"/>
      <c r="D38" s="88"/>
      <c r="E38" s="88"/>
      <c r="F38" s="88"/>
      <c r="G38" s="88"/>
      <c r="H38" s="88"/>
    </row>
    <row r="39" spans="1:8">
      <c r="A39" s="88" t="s">
        <v>476</v>
      </c>
      <c r="B39" s="88">
        <f>SUM(B13:B37)</f>
        <v>0</v>
      </c>
      <c r="C39" s="88">
        <f t="shared" ref="C39:H39" si="1">SUM(C13:C37)</f>
        <v>0</v>
      </c>
      <c r="D39" s="88">
        <f t="shared" si="1"/>
        <v>0</v>
      </c>
      <c r="E39" s="88">
        <f t="shared" si="1"/>
        <v>0</v>
      </c>
      <c r="F39" s="88">
        <f t="shared" si="1"/>
        <v>0</v>
      </c>
      <c r="G39" s="88">
        <f t="shared" si="1"/>
        <v>0</v>
      </c>
      <c r="H39" s="88">
        <f t="shared" si="1"/>
        <v>0</v>
      </c>
    </row>
    <row r="40" spans="1:8">
      <c r="A40" s="293" t="s">
        <v>167</v>
      </c>
      <c r="B40" s="249">
        <v>0</v>
      </c>
      <c r="C40" s="249">
        <f t="shared" ref="C40:H40" si="2">B40</f>
        <v>0</v>
      </c>
      <c r="D40" s="249">
        <f t="shared" si="2"/>
        <v>0</v>
      </c>
      <c r="E40" s="249">
        <f t="shared" si="2"/>
        <v>0</v>
      </c>
      <c r="F40" s="249">
        <f t="shared" si="2"/>
        <v>0</v>
      </c>
      <c r="G40" s="249">
        <f t="shared" si="2"/>
        <v>0</v>
      </c>
      <c r="H40" s="249">
        <f t="shared" si="2"/>
        <v>0</v>
      </c>
    </row>
    <row r="41" spans="1:8">
      <c r="A41" s="92" t="s">
        <v>486</v>
      </c>
      <c r="B41" s="294">
        <f>1-B40</f>
        <v>1</v>
      </c>
      <c r="C41" s="294">
        <f t="shared" ref="C41:H41" si="3">1-C40</f>
        <v>1</v>
      </c>
      <c r="D41" s="294">
        <f t="shared" si="3"/>
        <v>1</v>
      </c>
      <c r="E41" s="294">
        <f t="shared" si="3"/>
        <v>1</v>
      </c>
      <c r="F41" s="294">
        <f t="shared" si="3"/>
        <v>1</v>
      </c>
      <c r="G41" s="294">
        <f t="shared" si="3"/>
        <v>1</v>
      </c>
      <c r="H41" s="294">
        <f t="shared" si="3"/>
        <v>1</v>
      </c>
    </row>
    <row r="42" spans="1:8">
      <c r="A42" s="90" t="s">
        <v>167</v>
      </c>
      <c r="B42" s="233">
        <f>B39*B40</f>
        <v>0</v>
      </c>
      <c r="C42" s="233">
        <f t="shared" ref="C42:H42" si="4">C39*C40</f>
        <v>0</v>
      </c>
      <c r="D42" s="233">
        <f t="shared" si="4"/>
        <v>0</v>
      </c>
      <c r="E42" s="233">
        <f t="shared" si="4"/>
        <v>0</v>
      </c>
      <c r="F42" s="233">
        <f t="shared" si="4"/>
        <v>0</v>
      </c>
      <c r="G42" s="233">
        <f t="shared" si="4"/>
        <v>0</v>
      </c>
      <c r="H42" s="233">
        <f t="shared" si="4"/>
        <v>0</v>
      </c>
    </row>
    <row r="43" spans="1:8">
      <c r="A43" s="90" t="s">
        <v>168</v>
      </c>
      <c r="B43" s="108"/>
      <c r="C43" s="108"/>
      <c r="D43" s="108"/>
      <c r="E43" s="108"/>
      <c r="F43" s="108"/>
      <c r="G43" s="108"/>
      <c r="H43" s="108"/>
    </row>
    <row r="44" spans="1:8">
      <c r="A44" s="88" t="str">
        <f t="shared" ref="A44:A61" si="5">A13</f>
        <v>Onion</v>
      </c>
      <c r="B44" s="89">
        <f t="shared" ref="B44:B61" si="6">B13*$B$41</f>
        <v>0</v>
      </c>
      <c r="C44" s="89">
        <f t="shared" ref="C44:C61" si="7">C13*$C$41</f>
        <v>0</v>
      </c>
      <c r="D44" s="89">
        <f t="shared" ref="D44:D61" si="8">D13*$D$41</f>
        <v>0</v>
      </c>
      <c r="E44" s="89">
        <f t="shared" ref="E44:E61" si="9">E13*$E$41</f>
        <v>0</v>
      </c>
      <c r="F44" s="89">
        <f t="shared" ref="F44:F61" si="10">F13*$F$41</f>
        <v>0</v>
      </c>
      <c r="G44" s="89">
        <f t="shared" ref="G44:G61" si="11">G13*$G$41</f>
        <v>0</v>
      </c>
      <c r="H44" s="89">
        <f t="shared" ref="H44:H61" si="12">H13*$H$41</f>
        <v>0</v>
      </c>
    </row>
    <row r="45" spans="1:8">
      <c r="A45" s="88" t="str">
        <f t="shared" si="5"/>
        <v>Tomato</v>
      </c>
      <c r="B45" s="89">
        <f t="shared" si="6"/>
        <v>0</v>
      </c>
      <c r="C45" s="89">
        <f t="shared" si="7"/>
        <v>0</v>
      </c>
      <c r="D45" s="89">
        <f t="shared" si="8"/>
        <v>0</v>
      </c>
      <c r="E45" s="89">
        <f t="shared" si="9"/>
        <v>0</v>
      </c>
      <c r="F45" s="89">
        <f t="shared" si="10"/>
        <v>0</v>
      </c>
      <c r="G45" s="89">
        <f t="shared" si="11"/>
        <v>0</v>
      </c>
      <c r="H45" s="89">
        <f t="shared" si="12"/>
        <v>0</v>
      </c>
    </row>
    <row r="46" spans="1:8">
      <c r="A46" s="88" t="str">
        <f t="shared" si="5"/>
        <v>Okra</v>
      </c>
      <c r="B46" s="89">
        <f t="shared" si="6"/>
        <v>0</v>
      </c>
      <c r="C46" s="89">
        <f t="shared" si="7"/>
        <v>0</v>
      </c>
      <c r="D46" s="89">
        <f t="shared" si="8"/>
        <v>0</v>
      </c>
      <c r="E46" s="89">
        <f t="shared" si="9"/>
        <v>0</v>
      </c>
      <c r="F46" s="89">
        <f t="shared" si="10"/>
        <v>0</v>
      </c>
      <c r="G46" s="89">
        <f t="shared" si="11"/>
        <v>0</v>
      </c>
      <c r="H46" s="89">
        <f t="shared" si="12"/>
        <v>0</v>
      </c>
    </row>
    <row r="47" spans="1:8">
      <c r="A47" s="88" t="str">
        <f t="shared" si="5"/>
        <v>Chilli</v>
      </c>
      <c r="B47" s="89">
        <f t="shared" si="6"/>
        <v>0</v>
      </c>
      <c r="C47" s="89" t="e">
        <f t="shared" si="7"/>
        <v>#VALUE!</v>
      </c>
      <c r="D47" s="89">
        <f t="shared" si="8"/>
        <v>0</v>
      </c>
      <c r="E47" s="89">
        <f t="shared" si="9"/>
        <v>0</v>
      </c>
      <c r="F47" s="89">
        <f t="shared" si="10"/>
        <v>0</v>
      </c>
      <c r="G47" s="89">
        <f t="shared" si="11"/>
        <v>0</v>
      </c>
      <c r="H47" s="89">
        <f t="shared" si="12"/>
        <v>0</v>
      </c>
    </row>
    <row r="48" spans="1:8">
      <c r="A48" s="88" t="str">
        <f t="shared" si="5"/>
        <v>Potato</v>
      </c>
      <c r="B48" s="89">
        <f t="shared" si="6"/>
        <v>0</v>
      </c>
      <c r="C48" s="89">
        <f t="shared" si="7"/>
        <v>0</v>
      </c>
      <c r="D48" s="89">
        <f t="shared" si="8"/>
        <v>0</v>
      </c>
      <c r="E48" s="89">
        <f t="shared" si="9"/>
        <v>0</v>
      </c>
      <c r="F48" s="89">
        <f t="shared" si="10"/>
        <v>0</v>
      </c>
      <c r="G48" s="89">
        <f t="shared" si="11"/>
        <v>0</v>
      </c>
      <c r="H48" s="89">
        <f t="shared" si="12"/>
        <v>0</v>
      </c>
    </row>
    <row r="49" spans="1:8">
      <c r="A49" s="88">
        <f t="shared" si="5"/>
        <v>0</v>
      </c>
      <c r="B49" s="89">
        <f t="shared" si="6"/>
        <v>0</v>
      </c>
      <c r="C49" s="89">
        <f t="shared" si="7"/>
        <v>0</v>
      </c>
      <c r="D49" s="89">
        <f t="shared" si="8"/>
        <v>0</v>
      </c>
      <c r="E49" s="89">
        <f t="shared" si="9"/>
        <v>0</v>
      </c>
      <c r="F49" s="89">
        <f t="shared" si="10"/>
        <v>0</v>
      </c>
      <c r="G49" s="89">
        <f t="shared" si="11"/>
        <v>0</v>
      </c>
      <c r="H49" s="89">
        <f t="shared" si="12"/>
        <v>0</v>
      </c>
    </row>
    <row r="50" spans="1:8">
      <c r="A50" s="88">
        <f t="shared" si="5"/>
        <v>0</v>
      </c>
      <c r="B50" s="89">
        <f t="shared" si="6"/>
        <v>0</v>
      </c>
      <c r="C50" s="89">
        <f t="shared" si="7"/>
        <v>0</v>
      </c>
      <c r="D50" s="89">
        <f t="shared" si="8"/>
        <v>0</v>
      </c>
      <c r="E50" s="89">
        <f t="shared" si="9"/>
        <v>0</v>
      </c>
      <c r="F50" s="89">
        <f t="shared" si="10"/>
        <v>0</v>
      </c>
      <c r="G50" s="89">
        <f t="shared" si="11"/>
        <v>0</v>
      </c>
      <c r="H50" s="89">
        <f t="shared" si="12"/>
        <v>0</v>
      </c>
    </row>
    <row r="51" spans="1:8">
      <c r="A51" s="88">
        <f t="shared" si="5"/>
        <v>0</v>
      </c>
      <c r="B51" s="89">
        <f t="shared" si="6"/>
        <v>0</v>
      </c>
      <c r="C51" s="89">
        <f t="shared" si="7"/>
        <v>0</v>
      </c>
      <c r="D51" s="89">
        <f t="shared" si="8"/>
        <v>0</v>
      </c>
      <c r="E51" s="89">
        <f t="shared" si="9"/>
        <v>0</v>
      </c>
      <c r="F51" s="89">
        <f t="shared" si="10"/>
        <v>0</v>
      </c>
      <c r="G51" s="89">
        <f t="shared" si="11"/>
        <v>0</v>
      </c>
      <c r="H51" s="89">
        <f t="shared" si="12"/>
        <v>0</v>
      </c>
    </row>
    <row r="52" spans="1:8">
      <c r="A52" s="88">
        <f t="shared" si="5"/>
        <v>0</v>
      </c>
      <c r="B52" s="89">
        <f t="shared" si="6"/>
        <v>0</v>
      </c>
      <c r="C52" s="89">
        <f t="shared" si="7"/>
        <v>0</v>
      </c>
      <c r="D52" s="89">
        <f t="shared" si="8"/>
        <v>0</v>
      </c>
      <c r="E52" s="89">
        <f t="shared" si="9"/>
        <v>0</v>
      </c>
      <c r="F52" s="89">
        <f t="shared" si="10"/>
        <v>0</v>
      </c>
      <c r="G52" s="89">
        <f t="shared" si="11"/>
        <v>0</v>
      </c>
      <c r="H52" s="89">
        <f t="shared" si="12"/>
        <v>0</v>
      </c>
    </row>
    <row r="53" spans="1:8">
      <c r="A53" s="88" t="str">
        <f t="shared" si="5"/>
        <v>Onion</v>
      </c>
      <c r="B53" s="89">
        <f t="shared" si="6"/>
        <v>0</v>
      </c>
      <c r="C53" s="89">
        <f t="shared" si="7"/>
        <v>0</v>
      </c>
      <c r="D53" s="89">
        <f t="shared" si="8"/>
        <v>0</v>
      </c>
      <c r="E53" s="89">
        <f t="shared" si="9"/>
        <v>0</v>
      </c>
      <c r="F53" s="89">
        <f t="shared" si="10"/>
        <v>0</v>
      </c>
      <c r="G53" s="89">
        <f t="shared" si="11"/>
        <v>0</v>
      </c>
      <c r="H53" s="89">
        <f t="shared" si="12"/>
        <v>0</v>
      </c>
    </row>
    <row r="54" spans="1:8">
      <c r="A54" s="88" t="str">
        <f t="shared" si="5"/>
        <v>Tomato</v>
      </c>
      <c r="B54" s="89">
        <f t="shared" si="6"/>
        <v>0</v>
      </c>
      <c r="C54" s="89">
        <f t="shared" si="7"/>
        <v>0</v>
      </c>
      <c r="D54" s="89">
        <f t="shared" si="8"/>
        <v>0</v>
      </c>
      <c r="E54" s="89">
        <f t="shared" si="9"/>
        <v>0</v>
      </c>
      <c r="F54" s="89">
        <f t="shared" si="10"/>
        <v>0</v>
      </c>
      <c r="G54" s="89">
        <f t="shared" si="11"/>
        <v>0</v>
      </c>
      <c r="H54" s="89">
        <f t="shared" si="12"/>
        <v>0</v>
      </c>
    </row>
    <row r="55" spans="1:8">
      <c r="A55" s="88" t="str">
        <f t="shared" si="5"/>
        <v>Okra</v>
      </c>
      <c r="B55" s="89">
        <f t="shared" si="6"/>
        <v>0</v>
      </c>
      <c r="C55" s="89">
        <f t="shared" si="7"/>
        <v>0</v>
      </c>
      <c r="D55" s="89">
        <f t="shared" si="8"/>
        <v>0</v>
      </c>
      <c r="E55" s="89">
        <f t="shared" si="9"/>
        <v>0</v>
      </c>
      <c r="F55" s="89">
        <f t="shared" si="10"/>
        <v>0</v>
      </c>
      <c r="G55" s="89">
        <f t="shared" si="11"/>
        <v>0</v>
      </c>
      <c r="H55" s="89">
        <f t="shared" si="12"/>
        <v>0</v>
      </c>
    </row>
    <row r="56" spans="1:8">
      <c r="A56" s="88" t="str">
        <f t="shared" si="5"/>
        <v>Chilli</v>
      </c>
      <c r="B56" s="89">
        <f t="shared" si="6"/>
        <v>0</v>
      </c>
      <c r="C56" s="89">
        <f t="shared" si="7"/>
        <v>0</v>
      </c>
      <c r="D56" s="89">
        <f t="shared" si="8"/>
        <v>0</v>
      </c>
      <c r="E56" s="89">
        <f t="shared" si="9"/>
        <v>0</v>
      </c>
      <c r="F56" s="89">
        <f t="shared" si="10"/>
        <v>0</v>
      </c>
      <c r="G56" s="89">
        <f t="shared" si="11"/>
        <v>0</v>
      </c>
      <c r="H56" s="89">
        <f t="shared" si="12"/>
        <v>0</v>
      </c>
    </row>
    <row r="57" spans="1:8">
      <c r="A57" s="88" t="str">
        <f t="shared" si="5"/>
        <v>Brinjal</v>
      </c>
      <c r="B57" s="89">
        <f t="shared" si="6"/>
        <v>0</v>
      </c>
      <c r="C57" s="89">
        <f t="shared" si="7"/>
        <v>0</v>
      </c>
      <c r="D57" s="89">
        <f t="shared" si="8"/>
        <v>0</v>
      </c>
      <c r="E57" s="89">
        <f t="shared" si="9"/>
        <v>0</v>
      </c>
      <c r="F57" s="89">
        <f t="shared" si="10"/>
        <v>0</v>
      </c>
      <c r="G57" s="89">
        <f t="shared" si="11"/>
        <v>0</v>
      </c>
      <c r="H57" s="89">
        <f t="shared" si="12"/>
        <v>0</v>
      </c>
    </row>
    <row r="58" spans="1:8">
      <c r="A58" s="88">
        <f t="shared" si="5"/>
        <v>0</v>
      </c>
      <c r="B58" s="89">
        <f t="shared" si="6"/>
        <v>0</v>
      </c>
      <c r="C58" s="89">
        <f t="shared" si="7"/>
        <v>0</v>
      </c>
      <c r="D58" s="89">
        <f t="shared" si="8"/>
        <v>0</v>
      </c>
      <c r="E58" s="89">
        <f t="shared" si="9"/>
        <v>0</v>
      </c>
      <c r="F58" s="89">
        <f t="shared" si="10"/>
        <v>0</v>
      </c>
      <c r="G58" s="89">
        <f t="shared" si="11"/>
        <v>0</v>
      </c>
      <c r="H58" s="89">
        <f t="shared" si="12"/>
        <v>0</v>
      </c>
    </row>
    <row r="59" spans="1:8">
      <c r="A59" s="88">
        <f t="shared" si="5"/>
        <v>0</v>
      </c>
      <c r="B59" s="89">
        <f t="shared" si="6"/>
        <v>0</v>
      </c>
      <c r="C59" s="89">
        <f t="shared" si="7"/>
        <v>0</v>
      </c>
      <c r="D59" s="89">
        <f t="shared" si="8"/>
        <v>0</v>
      </c>
      <c r="E59" s="89">
        <f t="shared" si="9"/>
        <v>0</v>
      </c>
      <c r="F59" s="89">
        <f t="shared" si="10"/>
        <v>0</v>
      </c>
      <c r="G59" s="89">
        <f t="shared" si="11"/>
        <v>0</v>
      </c>
      <c r="H59" s="89">
        <f t="shared" si="12"/>
        <v>0</v>
      </c>
    </row>
    <row r="60" spans="1:8">
      <c r="A60" s="88">
        <f t="shared" si="5"/>
        <v>0</v>
      </c>
      <c r="B60" s="89">
        <f t="shared" si="6"/>
        <v>0</v>
      </c>
      <c r="C60" s="89">
        <f t="shared" si="7"/>
        <v>0</v>
      </c>
      <c r="D60" s="89">
        <f t="shared" si="8"/>
        <v>0</v>
      </c>
      <c r="E60" s="89">
        <f t="shared" si="9"/>
        <v>0</v>
      </c>
      <c r="F60" s="89">
        <f t="shared" si="10"/>
        <v>0</v>
      </c>
      <c r="G60" s="89">
        <f t="shared" si="11"/>
        <v>0</v>
      </c>
      <c r="H60" s="89">
        <f t="shared" si="12"/>
        <v>0</v>
      </c>
    </row>
    <row r="61" spans="1:8">
      <c r="A61" s="88">
        <f t="shared" si="5"/>
        <v>0</v>
      </c>
      <c r="B61" s="89">
        <f t="shared" si="6"/>
        <v>0</v>
      </c>
      <c r="C61" s="89">
        <f t="shared" si="7"/>
        <v>0</v>
      </c>
      <c r="D61" s="89">
        <f t="shared" si="8"/>
        <v>0</v>
      </c>
      <c r="E61" s="89">
        <f t="shared" si="9"/>
        <v>0</v>
      </c>
      <c r="F61" s="89">
        <f t="shared" si="10"/>
        <v>0</v>
      </c>
      <c r="G61" s="89">
        <f t="shared" si="11"/>
        <v>0</v>
      </c>
      <c r="H61" s="89">
        <f t="shared" si="12"/>
        <v>0</v>
      </c>
    </row>
    <row r="62" spans="1:8">
      <c r="A62" s="88" t="str">
        <f>A34</f>
        <v>Pomegranate</v>
      </c>
      <c r="B62" s="89">
        <f>B34*$B$41</f>
        <v>0</v>
      </c>
      <c r="C62" s="89">
        <f t="shared" ref="C62:H62" si="13">C34*$B$41</f>
        <v>0</v>
      </c>
      <c r="D62" s="89">
        <f t="shared" si="13"/>
        <v>0</v>
      </c>
      <c r="E62" s="89">
        <f t="shared" si="13"/>
        <v>0</v>
      </c>
      <c r="F62" s="89">
        <f t="shared" si="13"/>
        <v>0</v>
      </c>
      <c r="G62" s="89">
        <f t="shared" si="13"/>
        <v>0</v>
      </c>
      <c r="H62" s="89">
        <f t="shared" si="13"/>
        <v>0</v>
      </c>
    </row>
    <row r="63" spans="1:8">
      <c r="A63" s="88" t="str">
        <f>A35</f>
        <v>Custard Apple</v>
      </c>
      <c r="B63" s="89">
        <f t="shared" ref="B63:H63" si="14">B35*$B$41</f>
        <v>0</v>
      </c>
      <c r="C63" s="89">
        <f t="shared" si="14"/>
        <v>0</v>
      </c>
      <c r="D63" s="89">
        <f t="shared" si="14"/>
        <v>0</v>
      </c>
      <c r="E63" s="89">
        <f t="shared" si="14"/>
        <v>0</v>
      </c>
      <c r="F63" s="89">
        <f t="shared" si="14"/>
        <v>0</v>
      </c>
      <c r="G63" s="89">
        <f t="shared" si="14"/>
        <v>0</v>
      </c>
      <c r="H63" s="89">
        <f t="shared" si="14"/>
        <v>0</v>
      </c>
    </row>
    <row r="64" spans="1:8">
      <c r="A64" s="88" t="str">
        <f>A36</f>
        <v>Guava</v>
      </c>
      <c r="B64" s="89">
        <f t="shared" ref="B64:H65" si="15">B36*$B$41</f>
        <v>0</v>
      </c>
      <c r="C64" s="89">
        <f t="shared" si="15"/>
        <v>0</v>
      </c>
      <c r="D64" s="89">
        <f t="shared" si="15"/>
        <v>0</v>
      </c>
      <c r="E64" s="89">
        <f t="shared" si="15"/>
        <v>0</v>
      </c>
      <c r="F64" s="89">
        <f t="shared" si="15"/>
        <v>0</v>
      </c>
      <c r="G64" s="89">
        <f t="shared" si="15"/>
        <v>0</v>
      </c>
      <c r="H64" s="89">
        <f t="shared" si="15"/>
        <v>0</v>
      </c>
    </row>
    <row r="65" spans="1:8">
      <c r="A65" s="88" t="str">
        <f>A37</f>
        <v>Citrus</v>
      </c>
      <c r="B65" s="89">
        <f t="shared" si="15"/>
        <v>0</v>
      </c>
      <c r="C65" s="89">
        <f t="shared" si="15"/>
        <v>0</v>
      </c>
      <c r="D65" s="89">
        <f t="shared" si="15"/>
        <v>0</v>
      </c>
      <c r="E65" s="89">
        <f t="shared" si="15"/>
        <v>0</v>
      </c>
      <c r="F65" s="89">
        <f t="shared" si="15"/>
        <v>0</v>
      </c>
      <c r="G65" s="89">
        <f t="shared" si="15"/>
        <v>0</v>
      </c>
      <c r="H65" s="89">
        <f t="shared" si="15"/>
        <v>0</v>
      </c>
    </row>
    <row r="66" spans="1:8">
      <c r="A66" s="90" t="s">
        <v>289</v>
      </c>
      <c r="B66" s="88"/>
      <c r="C66" s="88"/>
      <c r="D66" s="88"/>
      <c r="E66" s="88"/>
      <c r="F66" s="88"/>
      <c r="G66" s="88"/>
      <c r="H66" s="88"/>
    </row>
    <row r="67" spans="1:8">
      <c r="A67" s="88" t="str">
        <f>A44</f>
        <v>Onion</v>
      </c>
      <c r="B67" s="184"/>
      <c r="C67" s="184"/>
      <c r="D67" s="184"/>
      <c r="E67" s="184"/>
      <c r="F67" s="184"/>
      <c r="G67" s="184"/>
      <c r="H67" s="184"/>
    </row>
    <row r="68" spans="1:8">
      <c r="A68" s="88"/>
      <c r="B68" s="184"/>
      <c r="C68" s="184"/>
      <c r="D68" s="184"/>
      <c r="E68" s="184"/>
      <c r="F68" s="184"/>
      <c r="G68" s="184"/>
      <c r="H68" s="184"/>
    </row>
    <row r="69" spans="1:8">
      <c r="A69" s="88"/>
      <c r="B69" s="184"/>
      <c r="C69" s="184"/>
      <c r="D69" s="184"/>
      <c r="E69" s="184"/>
      <c r="F69" s="184"/>
      <c r="G69" s="184"/>
      <c r="H69" s="184"/>
    </row>
    <row r="70" spans="1:8">
      <c r="A70" s="88"/>
      <c r="B70" s="184"/>
      <c r="C70" s="184"/>
      <c r="D70" s="184"/>
      <c r="E70" s="184"/>
      <c r="F70" s="184"/>
      <c r="G70" s="184"/>
      <c r="H70" s="184"/>
    </row>
    <row r="71" spans="1:8">
      <c r="A71" s="88" t="str">
        <f>A45</f>
        <v>Tomato</v>
      </c>
      <c r="B71" s="89"/>
      <c r="C71" s="89"/>
      <c r="D71" s="89"/>
      <c r="E71" s="89"/>
      <c r="F71" s="89"/>
      <c r="G71" s="89"/>
      <c r="H71" s="89"/>
    </row>
    <row r="72" spans="1:8">
      <c r="A72" s="88"/>
      <c r="B72" s="89"/>
      <c r="C72" s="89"/>
      <c r="D72" s="89"/>
      <c r="E72" s="89"/>
      <c r="F72" s="89"/>
      <c r="G72" s="89"/>
      <c r="H72" s="89"/>
    </row>
    <row r="73" spans="1:8">
      <c r="A73" s="88"/>
      <c r="B73" s="89"/>
      <c r="C73" s="89"/>
      <c r="D73" s="89"/>
      <c r="E73" s="89"/>
      <c r="F73" s="89"/>
      <c r="G73" s="89"/>
      <c r="H73" s="89"/>
    </row>
    <row r="74" spans="1:8">
      <c r="A74" s="88"/>
      <c r="B74" s="89"/>
      <c r="C74" s="89"/>
      <c r="D74" s="89"/>
      <c r="E74" s="89"/>
      <c r="F74" s="89"/>
      <c r="G74" s="89"/>
      <c r="H74" s="89"/>
    </row>
    <row r="75" spans="1:8">
      <c r="A75" s="88" t="str">
        <f>A46</f>
        <v>Okra</v>
      </c>
      <c r="B75" s="89"/>
      <c r="C75" s="89"/>
      <c r="D75" s="89"/>
      <c r="E75" s="89"/>
      <c r="F75" s="89"/>
      <c r="G75" s="89"/>
      <c r="H75" s="89"/>
    </row>
    <row r="76" spans="1:8">
      <c r="A76" s="88"/>
      <c r="B76" s="89"/>
      <c r="C76" s="89"/>
      <c r="D76" s="89"/>
      <c r="E76" s="89"/>
      <c r="F76" s="89"/>
      <c r="G76" s="89"/>
      <c r="H76" s="89"/>
    </row>
    <row r="77" spans="1:8">
      <c r="A77" s="88"/>
      <c r="B77" s="89"/>
      <c r="C77" s="89"/>
      <c r="D77" s="89"/>
      <c r="E77" s="89"/>
      <c r="F77" s="89"/>
      <c r="G77" s="89"/>
      <c r="H77" s="89"/>
    </row>
    <row r="78" spans="1:8">
      <c r="A78" s="88"/>
      <c r="B78" s="89"/>
      <c r="C78" s="89"/>
      <c r="D78" s="89"/>
      <c r="E78" s="89"/>
      <c r="F78" s="89"/>
      <c r="G78" s="89"/>
      <c r="H78" s="89"/>
    </row>
    <row r="79" spans="1:8">
      <c r="A79" s="88" t="str">
        <f>A47</f>
        <v>Chilli</v>
      </c>
      <c r="B79" s="89"/>
      <c r="C79" s="89"/>
      <c r="D79" s="89"/>
      <c r="E79" s="89"/>
      <c r="F79" s="89"/>
      <c r="G79" s="89"/>
      <c r="H79" s="89"/>
    </row>
    <row r="80" spans="1:8">
      <c r="A80" s="88"/>
      <c r="B80" s="89"/>
      <c r="C80" s="89"/>
      <c r="D80" s="89"/>
      <c r="E80" s="89"/>
      <c r="F80" s="89"/>
      <c r="G80" s="89"/>
      <c r="H80" s="89"/>
    </row>
    <row r="81" spans="1:8">
      <c r="A81" s="88"/>
      <c r="B81" s="89"/>
      <c r="C81" s="89"/>
      <c r="D81" s="89"/>
      <c r="E81" s="89"/>
      <c r="F81" s="89"/>
      <c r="G81" s="89"/>
      <c r="H81" s="89"/>
    </row>
    <row r="82" spans="1:8">
      <c r="A82" s="88"/>
      <c r="B82" s="89"/>
      <c r="C82" s="89"/>
      <c r="D82" s="89"/>
      <c r="E82" s="89"/>
      <c r="F82" s="89"/>
      <c r="G82" s="89"/>
      <c r="H82" s="89"/>
    </row>
    <row r="83" spans="1:8">
      <c r="A83" s="88" t="str">
        <f>A48</f>
        <v>Potato</v>
      </c>
      <c r="B83" s="89"/>
      <c r="C83" s="89"/>
      <c r="D83" s="89"/>
      <c r="E83" s="89"/>
      <c r="F83" s="89"/>
      <c r="G83" s="89"/>
      <c r="H83" s="89"/>
    </row>
    <row r="84" spans="1:8">
      <c r="A84" s="88"/>
      <c r="B84" s="89"/>
      <c r="C84" s="89"/>
      <c r="D84" s="89"/>
      <c r="E84" s="89"/>
      <c r="F84" s="89"/>
      <c r="G84" s="89"/>
      <c r="H84" s="89"/>
    </row>
    <row r="85" spans="1:8">
      <c r="A85" s="88"/>
      <c r="B85" s="89"/>
      <c r="C85" s="89"/>
      <c r="D85" s="89"/>
      <c r="E85" s="89"/>
      <c r="F85" s="89"/>
      <c r="G85" s="89"/>
      <c r="H85" s="89"/>
    </row>
    <row r="86" spans="1:8">
      <c r="A86" s="88"/>
      <c r="B86" s="89"/>
      <c r="C86" s="89"/>
      <c r="D86" s="89"/>
      <c r="E86" s="89"/>
      <c r="F86" s="89"/>
      <c r="G86" s="89"/>
      <c r="H86" s="89"/>
    </row>
    <row r="87" spans="1:8">
      <c r="A87" s="88">
        <f>A49</f>
        <v>0</v>
      </c>
      <c r="B87" s="89"/>
      <c r="C87" s="89"/>
      <c r="D87" s="89"/>
      <c r="E87" s="89"/>
      <c r="F87" s="89"/>
      <c r="G87" s="89"/>
      <c r="H87" s="89"/>
    </row>
    <row r="88" spans="1:8">
      <c r="A88" s="88"/>
      <c r="B88" s="89"/>
      <c r="C88" s="89"/>
      <c r="D88" s="89"/>
      <c r="E88" s="89"/>
      <c r="F88" s="89"/>
      <c r="G88" s="89"/>
      <c r="H88" s="89"/>
    </row>
    <row r="89" spans="1:8">
      <c r="A89" s="88"/>
      <c r="B89" s="89"/>
      <c r="C89" s="89"/>
      <c r="D89" s="89"/>
      <c r="E89" s="89"/>
      <c r="F89" s="89"/>
      <c r="G89" s="89"/>
      <c r="H89" s="89"/>
    </row>
    <row r="90" spans="1:8">
      <c r="A90" s="88"/>
      <c r="B90" s="89"/>
      <c r="C90" s="89"/>
      <c r="D90" s="89"/>
      <c r="E90" s="89"/>
      <c r="F90" s="89"/>
      <c r="G90" s="89"/>
      <c r="H90" s="89"/>
    </row>
    <row r="91" spans="1:8">
      <c r="A91" s="88">
        <f>A50</f>
        <v>0</v>
      </c>
      <c r="B91" s="89"/>
      <c r="C91" s="89"/>
      <c r="D91" s="89"/>
      <c r="E91" s="89"/>
      <c r="F91" s="89"/>
      <c r="G91" s="89"/>
      <c r="H91" s="89"/>
    </row>
    <row r="92" spans="1:8">
      <c r="A92" s="88"/>
      <c r="B92" s="89"/>
      <c r="C92" s="89"/>
      <c r="D92" s="89"/>
      <c r="E92" s="89"/>
      <c r="F92" s="89"/>
      <c r="G92" s="89"/>
      <c r="H92" s="89"/>
    </row>
    <row r="93" spans="1:8">
      <c r="A93" s="88"/>
      <c r="B93" s="89"/>
      <c r="C93" s="89"/>
      <c r="D93" s="89"/>
      <c r="E93" s="89"/>
      <c r="F93" s="89"/>
      <c r="G93" s="89"/>
      <c r="H93" s="89"/>
    </row>
    <row r="94" spans="1:8">
      <c r="A94" s="88">
        <f>A51</f>
        <v>0</v>
      </c>
      <c r="B94" s="89"/>
      <c r="C94" s="89"/>
      <c r="D94" s="89"/>
      <c r="E94" s="89"/>
      <c r="F94" s="89"/>
      <c r="G94" s="89"/>
      <c r="H94" s="89"/>
    </row>
    <row r="95" spans="1:8">
      <c r="A95" s="88"/>
      <c r="B95" s="89"/>
      <c r="C95" s="89"/>
      <c r="D95" s="89"/>
      <c r="E95" s="89"/>
      <c r="F95" s="89"/>
      <c r="G95" s="89"/>
      <c r="H95" s="89"/>
    </row>
    <row r="96" spans="1:8">
      <c r="A96" s="88"/>
      <c r="B96" s="89"/>
      <c r="C96" s="89"/>
      <c r="D96" s="89"/>
      <c r="E96" s="89"/>
      <c r="F96" s="89"/>
      <c r="G96" s="89"/>
      <c r="H96" s="89"/>
    </row>
    <row r="97" spans="1:8">
      <c r="A97" s="88"/>
      <c r="B97" s="89"/>
      <c r="C97" s="89"/>
      <c r="D97" s="89"/>
      <c r="E97" s="89"/>
      <c r="F97" s="89"/>
      <c r="G97" s="89"/>
      <c r="H97" s="89"/>
    </row>
    <row r="98" spans="1:8">
      <c r="A98" s="88">
        <f>A52</f>
        <v>0</v>
      </c>
      <c r="B98" s="89"/>
      <c r="C98" s="89"/>
      <c r="D98" s="89"/>
      <c r="E98" s="89"/>
      <c r="F98" s="89"/>
      <c r="G98" s="89"/>
      <c r="H98" s="89"/>
    </row>
    <row r="99" spans="1:8">
      <c r="A99" s="88"/>
      <c r="B99" s="89"/>
      <c r="C99" s="89"/>
      <c r="D99" s="89"/>
      <c r="E99" s="89"/>
      <c r="F99" s="89"/>
      <c r="G99" s="89"/>
      <c r="H99" s="89"/>
    </row>
    <row r="100" spans="1:8">
      <c r="A100" s="88"/>
      <c r="B100" s="89"/>
      <c r="C100" s="89"/>
      <c r="D100" s="89"/>
      <c r="E100" s="89"/>
      <c r="F100" s="89"/>
      <c r="G100" s="89"/>
      <c r="H100" s="89"/>
    </row>
    <row r="101" spans="1:8">
      <c r="A101" s="88"/>
      <c r="B101" s="89"/>
      <c r="C101" s="89"/>
      <c r="D101" s="89"/>
      <c r="E101" s="89"/>
      <c r="F101" s="89"/>
      <c r="G101" s="89"/>
      <c r="H101" s="89"/>
    </row>
    <row r="102" spans="1:8">
      <c r="A102" s="88" t="str">
        <f>A53</f>
        <v>Onion</v>
      </c>
      <c r="B102" s="89"/>
      <c r="C102" s="89"/>
      <c r="D102" s="89"/>
      <c r="E102" s="89"/>
      <c r="F102" s="89"/>
      <c r="G102" s="89"/>
      <c r="H102" s="89"/>
    </row>
    <row r="103" spans="1:8">
      <c r="A103" s="88"/>
      <c r="B103" s="89"/>
      <c r="C103" s="89"/>
      <c r="D103" s="89"/>
      <c r="E103" s="89"/>
      <c r="F103" s="89"/>
      <c r="G103" s="89"/>
      <c r="H103" s="89"/>
    </row>
    <row r="104" spans="1:8">
      <c r="A104" s="88"/>
      <c r="B104" s="89"/>
      <c r="C104" s="89"/>
      <c r="D104" s="89"/>
      <c r="E104" s="89"/>
      <c r="F104" s="89"/>
      <c r="G104" s="89"/>
      <c r="H104" s="89"/>
    </row>
    <row r="105" spans="1:8">
      <c r="A105" s="88"/>
      <c r="B105" s="89"/>
      <c r="C105" s="89"/>
      <c r="D105" s="89"/>
      <c r="E105" s="89"/>
      <c r="F105" s="89"/>
      <c r="G105" s="89"/>
      <c r="H105" s="89"/>
    </row>
    <row r="106" spans="1:8">
      <c r="A106" s="88" t="str">
        <f>A54</f>
        <v>Tomato</v>
      </c>
      <c r="B106" s="89"/>
      <c r="C106" s="89"/>
      <c r="D106" s="89"/>
      <c r="E106" s="89"/>
      <c r="F106" s="89"/>
      <c r="G106" s="89"/>
      <c r="H106" s="89"/>
    </row>
    <row r="107" spans="1:8">
      <c r="A107" s="88"/>
      <c r="B107" s="89"/>
      <c r="C107" s="89"/>
      <c r="D107" s="89"/>
      <c r="E107" s="89"/>
      <c r="F107" s="89"/>
      <c r="G107" s="89"/>
      <c r="H107" s="89"/>
    </row>
    <row r="108" spans="1:8">
      <c r="A108" s="88"/>
      <c r="B108" s="89"/>
      <c r="C108" s="89"/>
      <c r="D108" s="89"/>
      <c r="E108" s="89"/>
      <c r="F108" s="89"/>
      <c r="G108" s="89"/>
      <c r="H108" s="89"/>
    </row>
    <row r="109" spans="1:8">
      <c r="A109" s="88"/>
      <c r="B109" s="89"/>
      <c r="C109" s="89"/>
      <c r="D109" s="89"/>
      <c r="E109" s="89"/>
      <c r="F109" s="89"/>
      <c r="G109" s="89"/>
      <c r="H109" s="89"/>
    </row>
    <row r="110" spans="1:8">
      <c r="A110" s="88" t="str">
        <f>A55</f>
        <v>Okra</v>
      </c>
      <c r="B110" s="89"/>
      <c r="C110" s="89"/>
      <c r="D110" s="89"/>
      <c r="E110" s="89"/>
      <c r="F110" s="89"/>
      <c r="G110" s="89"/>
      <c r="H110" s="89"/>
    </row>
    <row r="111" spans="1:8">
      <c r="A111" s="88"/>
      <c r="B111" s="89"/>
      <c r="C111" s="89"/>
      <c r="D111" s="89"/>
      <c r="E111" s="89"/>
      <c r="F111" s="89"/>
      <c r="G111" s="89"/>
      <c r="H111" s="89"/>
    </row>
    <row r="112" spans="1:8">
      <c r="A112" s="88"/>
      <c r="B112" s="89"/>
      <c r="C112" s="89"/>
      <c r="D112" s="89"/>
      <c r="E112" s="89"/>
      <c r="F112" s="89"/>
      <c r="G112" s="89"/>
      <c r="H112" s="89"/>
    </row>
    <row r="113" spans="1:8">
      <c r="A113" s="88"/>
      <c r="B113" s="89"/>
      <c r="C113" s="89"/>
      <c r="D113" s="89"/>
      <c r="E113" s="89"/>
      <c r="F113" s="89"/>
      <c r="G113" s="89"/>
      <c r="H113" s="89"/>
    </row>
    <row r="114" spans="1:8">
      <c r="A114" s="88" t="str">
        <f>A56</f>
        <v>Chilli</v>
      </c>
      <c r="B114" s="89"/>
      <c r="C114" s="89"/>
      <c r="D114" s="89"/>
      <c r="E114" s="89"/>
      <c r="F114" s="89"/>
      <c r="G114" s="89"/>
      <c r="H114" s="89"/>
    </row>
    <row r="115" spans="1:8">
      <c r="A115" s="88"/>
      <c r="B115" s="89"/>
      <c r="C115" s="89"/>
      <c r="D115" s="89"/>
      <c r="E115" s="89"/>
      <c r="F115" s="89"/>
      <c r="G115" s="89"/>
      <c r="H115" s="89"/>
    </row>
    <row r="116" spans="1:8">
      <c r="A116" s="88"/>
      <c r="B116" s="89"/>
      <c r="C116" s="89"/>
      <c r="D116" s="89"/>
      <c r="E116" s="89"/>
      <c r="F116" s="89"/>
      <c r="G116" s="89"/>
      <c r="H116" s="89"/>
    </row>
    <row r="117" spans="1:8">
      <c r="A117" s="88"/>
      <c r="B117" s="89"/>
      <c r="C117" s="89"/>
      <c r="D117" s="89"/>
      <c r="E117" s="89"/>
      <c r="F117" s="89"/>
      <c r="G117" s="89"/>
      <c r="H117" s="89"/>
    </row>
    <row r="118" spans="1:8">
      <c r="A118" s="90" t="str">
        <f t="shared" ref="A118:A123" si="16">A57</f>
        <v>Brinjal</v>
      </c>
      <c r="B118" s="89"/>
      <c r="C118" s="89"/>
      <c r="D118" s="89"/>
      <c r="E118" s="89"/>
      <c r="F118" s="89"/>
      <c r="G118" s="89"/>
      <c r="H118" s="89"/>
    </row>
    <row r="119" spans="1:8">
      <c r="A119" s="88">
        <f t="shared" si="16"/>
        <v>0</v>
      </c>
      <c r="B119" s="89"/>
      <c r="C119" s="89"/>
      <c r="D119" s="89"/>
      <c r="E119" s="89"/>
      <c r="F119" s="89"/>
      <c r="G119" s="89"/>
      <c r="H119" s="89"/>
    </row>
    <row r="120" spans="1:8">
      <c r="A120" s="88">
        <f t="shared" si="16"/>
        <v>0</v>
      </c>
      <c r="B120" s="89"/>
      <c r="C120" s="89"/>
      <c r="D120" s="89"/>
      <c r="E120" s="89"/>
      <c r="F120" s="89"/>
      <c r="G120" s="89"/>
      <c r="H120" s="89"/>
    </row>
    <row r="121" spans="1:8">
      <c r="A121" s="88">
        <f t="shared" si="16"/>
        <v>0</v>
      </c>
      <c r="B121" s="89"/>
      <c r="C121" s="89"/>
      <c r="D121" s="89"/>
      <c r="E121" s="89"/>
      <c r="F121" s="89"/>
      <c r="G121" s="89"/>
      <c r="H121" s="89"/>
    </row>
    <row r="122" spans="1:8">
      <c r="A122" s="88">
        <f t="shared" si="16"/>
        <v>0</v>
      </c>
      <c r="B122" s="89"/>
      <c r="C122" s="89"/>
      <c r="D122" s="89"/>
      <c r="E122" s="89"/>
      <c r="F122" s="89"/>
      <c r="G122" s="89"/>
      <c r="H122" s="89"/>
    </row>
    <row r="123" spans="1:8">
      <c r="A123" s="90" t="str">
        <f t="shared" si="16"/>
        <v>Pomegranate</v>
      </c>
      <c r="B123" s="89"/>
      <c r="C123" s="89"/>
      <c r="D123" s="89"/>
      <c r="E123" s="89"/>
      <c r="F123" s="89"/>
      <c r="G123" s="89"/>
      <c r="H123" s="89"/>
    </row>
    <row r="124" spans="1:8">
      <c r="A124" s="88" t="s">
        <v>541</v>
      </c>
      <c r="B124" s="89">
        <f>(B$62*50%)*0.7</f>
        <v>0</v>
      </c>
      <c r="C124" s="89">
        <f>(C$62*50%)*0.7</f>
        <v>0</v>
      </c>
      <c r="D124" s="89">
        <f t="shared" ref="D124:H126" si="17">(D$62*50%)*0.7</f>
        <v>0</v>
      </c>
      <c r="E124" s="89">
        <f t="shared" si="17"/>
        <v>0</v>
      </c>
      <c r="F124" s="89">
        <f t="shared" si="17"/>
        <v>0</v>
      </c>
      <c r="G124" s="89">
        <f t="shared" si="17"/>
        <v>0</v>
      </c>
      <c r="H124" s="89">
        <f t="shared" si="17"/>
        <v>0</v>
      </c>
    </row>
    <row r="125" spans="1:8">
      <c r="A125" s="88" t="s">
        <v>539</v>
      </c>
      <c r="B125" s="89">
        <f>(B$62*50%)*0.7*2</f>
        <v>0</v>
      </c>
      <c r="C125" s="89">
        <f>(C$62*50%)*0.7</f>
        <v>0</v>
      </c>
      <c r="D125" s="89">
        <f t="shared" si="17"/>
        <v>0</v>
      </c>
      <c r="E125" s="89">
        <f t="shared" si="17"/>
        <v>0</v>
      </c>
      <c r="F125" s="89">
        <f t="shared" si="17"/>
        <v>0</v>
      </c>
      <c r="G125" s="89">
        <f t="shared" si="17"/>
        <v>0</v>
      </c>
      <c r="H125" s="89">
        <f t="shared" si="17"/>
        <v>0</v>
      </c>
    </row>
    <row r="126" spans="1:8">
      <c r="A126" s="88" t="s">
        <v>540</v>
      </c>
      <c r="B126" s="89">
        <f>(B$62*0.3)*0.2</f>
        <v>0</v>
      </c>
      <c r="C126" s="89">
        <f>(C$62*50%)*0.7</f>
        <v>0</v>
      </c>
      <c r="D126" s="89">
        <f t="shared" si="17"/>
        <v>0</v>
      </c>
      <c r="E126" s="89">
        <f t="shared" si="17"/>
        <v>0</v>
      </c>
      <c r="F126" s="89">
        <f t="shared" si="17"/>
        <v>0</v>
      </c>
      <c r="G126" s="89">
        <f t="shared" si="17"/>
        <v>0</v>
      </c>
      <c r="H126" s="89">
        <f t="shared" si="17"/>
        <v>0</v>
      </c>
    </row>
    <row r="127" spans="1:8">
      <c r="A127" s="88" t="str">
        <f>A63</f>
        <v>Custard Apple</v>
      </c>
      <c r="B127" s="89"/>
      <c r="C127" s="89"/>
      <c r="D127" s="89"/>
      <c r="E127" s="89"/>
      <c r="F127" s="89"/>
      <c r="G127" s="89"/>
      <c r="H127" s="89"/>
    </row>
    <row r="128" spans="1:8">
      <c r="A128" s="88"/>
      <c r="B128" s="89"/>
      <c r="C128" s="89"/>
      <c r="D128" s="89"/>
      <c r="E128" s="89"/>
      <c r="F128" s="89"/>
      <c r="G128" s="89"/>
      <c r="H128" s="89"/>
    </row>
    <row r="129" spans="1:8">
      <c r="A129" s="88"/>
      <c r="B129" s="89"/>
      <c r="C129" s="89"/>
      <c r="D129" s="89"/>
      <c r="E129" s="89"/>
      <c r="F129" s="89"/>
      <c r="G129" s="89"/>
      <c r="H129" s="89"/>
    </row>
    <row r="130" spans="1:8">
      <c r="A130" s="88"/>
      <c r="B130" s="89"/>
      <c r="C130" s="89"/>
      <c r="D130" s="89"/>
      <c r="E130" s="89"/>
      <c r="F130" s="89"/>
      <c r="G130" s="89"/>
      <c r="H130" s="89"/>
    </row>
    <row r="131" spans="1:8">
      <c r="A131" s="88" t="str">
        <f>A64</f>
        <v>Guava</v>
      </c>
      <c r="B131" s="89"/>
      <c r="C131" s="89"/>
      <c r="D131" s="89"/>
      <c r="E131" s="89"/>
      <c r="F131" s="89"/>
      <c r="G131" s="89"/>
      <c r="H131" s="89"/>
    </row>
    <row r="132" spans="1:8">
      <c r="A132" s="88"/>
      <c r="B132" s="89"/>
      <c r="C132" s="89"/>
      <c r="D132" s="89"/>
      <c r="E132" s="89"/>
      <c r="F132" s="89"/>
      <c r="G132" s="89"/>
      <c r="H132" s="89"/>
    </row>
    <row r="133" spans="1:8">
      <c r="A133" s="88"/>
      <c r="B133" s="89"/>
      <c r="C133" s="89"/>
      <c r="D133" s="89"/>
      <c r="E133" s="89"/>
      <c r="F133" s="89"/>
      <c r="G133" s="89"/>
      <c r="H133" s="89"/>
    </row>
    <row r="134" spans="1:8">
      <c r="A134" s="88"/>
      <c r="B134" s="89"/>
      <c r="C134" s="89"/>
      <c r="D134" s="89"/>
      <c r="E134" s="89"/>
      <c r="F134" s="89"/>
      <c r="G134" s="89"/>
      <c r="H134" s="89"/>
    </row>
    <row r="135" spans="1:8">
      <c r="A135" s="88" t="str">
        <f>A65</f>
        <v>Citrus</v>
      </c>
      <c r="B135" s="89"/>
      <c r="C135" s="89"/>
      <c r="D135" s="89"/>
      <c r="E135" s="89"/>
      <c r="F135" s="89"/>
      <c r="G135" s="89"/>
      <c r="H135" s="89"/>
    </row>
    <row r="136" spans="1:8">
      <c r="A136" s="88"/>
      <c r="B136" s="89"/>
      <c r="C136" s="89"/>
      <c r="D136" s="89"/>
      <c r="E136" s="89"/>
      <c r="F136" s="89"/>
      <c r="G136" s="89"/>
      <c r="H136" s="89"/>
    </row>
    <row r="137" spans="1:8">
      <c r="A137" s="88"/>
      <c r="B137" s="89"/>
      <c r="C137" s="89"/>
      <c r="D137" s="89"/>
      <c r="E137" s="89"/>
      <c r="F137" s="89"/>
      <c r="G137" s="89"/>
      <c r="H137" s="89"/>
    </row>
    <row r="138" spans="1:8">
      <c r="A138" s="88"/>
      <c r="B138" s="89"/>
      <c r="C138" s="89"/>
      <c r="D138" s="89"/>
      <c r="E138" s="89"/>
      <c r="F138" s="89"/>
      <c r="G138" s="89"/>
      <c r="H138" s="89"/>
    </row>
    <row r="139" spans="1:8">
      <c r="A139" s="179"/>
      <c r="B139" s="277"/>
      <c r="C139" s="277"/>
      <c r="D139" s="277"/>
      <c r="E139" s="277"/>
      <c r="F139" s="277"/>
      <c r="G139" s="277"/>
      <c r="H139" s="277"/>
    </row>
    <row r="140" spans="1:8">
      <c r="A140" s="180" t="s">
        <v>463</v>
      </c>
    </row>
    <row r="141" spans="1:8">
      <c r="A141" t="s">
        <v>544</v>
      </c>
      <c r="B141" s="24">
        <f t="shared" ref="B141:C143" si="18">(B124*100)</f>
        <v>0</v>
      </c>
      <c r="C141" s="24">
        <f t="shared" si="18"/>
        <v>0</v>
      </c>
      <c r="D141" s="24">
        <f t="shared" ref="D141:H143" si="19">(D124*100)</f>
        <v>0</v>
      </c>
      <c r="E141" s="24">
        <f t="shared" si="19"/>
        <v>0</v>
      </c>
      <c r="F141" s="24">
        <f t="shared" si="19"/>
        <v>0</v>
      </c>
      <c r="G141" s="24">
        <f t="shared" si="19"/>
        <v>0</v>
      </c>
      <c r="H141" s="24">
        <f t="shared" si="19"/>
        <v>0</v>
      </c>
    </row>
    <row r="142" spans="1:8">
      <c r="A142" t="s">
        <v>545</v>
      </c>
      <c r="B142" s="24">
        <f t="shared" si="18"/>
        <v>0</v>
      </c>
      <c r="C142" s="24">
        <f t="shared" si="18"/>
        <v>0</v>
      </c>
      <c r="D142" s="24">
        <f t="shared" si="19"/>
        <v>0</v>
      </c>
      <c r="E142" s="24">
        <f t="shared" si="19"/>
        <v>0</v>
      </c>
      <c r="F142" s="24">
        <f t="shared" si="19"/>
        <v>0</v>
      </c>
      <c r="G142" s="24">
        <f t="shared" si="19"/>
        <v>0</v>
      </c>
      <c r="H142" s="24">
        <f t="shared" si="19"/>
        <v>0</v>
      </c>
    </row>
    <row r="143" spans="1:8">
      <c r="A143" t="s">
        <v>546</v>
      </c>
      <c r="B143" s="24">
        <f t="shared" si="18"/>
        <v>0</v>
      </c>
      <c r="C143" s="24">
        <f t="shared" si="18"/>
        <v>0</v>
      </c>
      <c r="D143" s="24">
        <f t="shared" si="19"/>
        <v>0</v>
      </c>
      <c r="E143" s="24">
        <f t="shared" si="19"/>
        <v>0</v>
      </c>
      <c r="F143" s="24">
        <f t="shared" si="19"/>
        <v>0</v>
      </c>
      <c r="G143" s="24">
        <f t="shared" si="19"/>
        <v>0</v>
      </c>
      <c r="H143" s="24">
        <f t="shared" si="19"/>
        <v>0</v>
      </c>
    </row>
    <row r="145" spans="1:10">
      <c r="B145" s="24"/>
      <c r="C145" s="24"/>
    </row>
    <row r="146" spans="1:10">
      <c r="B146" s="24"/>
      <c r="C146" s="24"/>
      <c r="D146" s="24"/>
    </row>
    <row r="147" spans="1:10" ht="17.5">
      <c r="A147" s="416" t="s">
        <v>618</v>
      </c>
      <c r="B147" s="416"/>
      <c r="C147" s="416"/>
      <c r="D147" s="416"/>
      <c r="E147" s="416"/>
      <c r="F147" s="416"/>
      <c r="G147" s="416"/>
      <c r="H147" s="416"/>
      <c r="I147" s="416"/>
      <c r="J147" s="416"/>
    </row>
    <row r="148" spans="1:10">
      <c r="A148" s="289"/>
      <c r="B148" s="289"/>
      <c r="C148" s="289"/>
      <c r="D148" s="289"/>
      <c r="E148" s="289"/>
      <c r="F148" s="289"/>
      <c r="G148" s="289"/>
      <c r="H148" s="289"/>
    </row>
    <row r="149" spans="1:10">
      <c r="A149" s="291"/>
      <c r="B149" s="291"/>
      <c r="C149" s="291"/>
      <c r="D149" s="186">
        <v>1</v>
      </c>
      <c r="E149" s="187">
        <f t="shared" ref="E149:J149" si="20">(D149*5%)+D149</f>
        <v>1.05</v>
      </c>
      <c r="F149" s="187">
        <f t="shared" si="20"/>
        <v>1.1025</v>
      </c>
      <c r="G149" s="187">
        <f t="shared" si="20"/>
        <v>1.1576250000000001</v>
      </c>
      <c r="H149" s="187">
        <f t="shared" si="20"/>
        <v>1.2155062500000002</v>
      </c>
      <c r="I149" s="187">
        <f t="shared" si="20"/>
        <v>1.2762815625000004</v>
      </c>
      <c r="J149" s="187">
        <f t="shared" si="20"/>
        <v>1.3400956406250004</v>
      </c>
    </row>
    <row r="150" spans="1:10">
      <c r="A150" s="87"/>
      <c r="B150" s="87"/>
      <c r="C150" s="87"/>
      <c r="D150" s="87"/>
      <c r="E150" s="87"/>
      <c r="F150" s="87"/>
      <c r="G150" s="87"/>
      <c r="H150" s="87"/>
      <c r="I150" s="87"/>
      <c r="J150" s="87"/>
    </row>
    <row r="151" spans="1:10">
      <c r="A151" s="141" t="s">
        <v>0</v>
      </c>
      <c r="B151" s="141" t="s">
        <v>133</v>
      </c>
      <c r="C151" s="141" t="s">
        <v>154</v>
      </c>
      <c r="D151" s="113" t="s">
        <v>2</v>
      </c>
      <c r="E151" s="113" t="s">
        <v>3</v>
      </c>
      <c r="F151" s="113" t="s">
        <v>4</v>
      </c>
      <c r="G151" s="113" t="s">
        <v>5</v>
      </c>
      <c r="H151" s="113" t="s">
        <v>6</v>
      </c>
      <c r="I151" s="113" t="s">
        <v>171</v>
      </c>
      <c r="J151" s="113" t="s">
        <v>170</v>
      </c>
    </row>
    <row r="152" spans="1:10">
      <c r="A152" s="88"/>
      <c r="B152" s="88"/>
      <c r="C152" s="88"/>
      <c r="D152" s="88"/>
      <c r="E152" s="88"/>
      <c r="F152" s="88"/>
      <c r="G152" s="88"/>
      <c r="H152" s="88"/>
      <c r="I152" s="88"/>
      <c r="J152" s="88"/>
    </row>
    <row r="153" spans="1:10">
      <c r="A153" s="90" t="s">
        <v>127</v>
      </c>
      <c r="B153" s="90"/>
      <c r="C153" s="90"/>
      <c r="D153" s="107"/>
      <c r="E153" s="107"/>
      <c r="F153" s="107"/>
      <c r="G153" s="107"/>
      <c r="H153" s="107"/>
      <c r="I153" s="88"/>
      <c r="J153" s="88"/>
    </row>
    <row r="154" spans="1:10">
      <c r="A154" s="88" t="str">
        <f>A124</f>
        <v>Pomegranate Arils</v>
      </c>
      <c r="B154" s="217" t="s">
        <v>543</v>
      </c>
      <c r="C154" s="217">
        <v>150</v>
      </c>
      <c r="D154" s="89">
        <f>(B141*(1-'5.Closing Stock &amp; W Capital'!$D$18)*$C154*D$149)</f>
        <v>0</v>
      </c>
      <c r="E154" s="89">
        <f>(((C141*(1-'5.Closing Stock &amp; W Capital'!$D$18))+(B141*'5.Closing Stock &amp; W Capital'!$D$18))*$C154*E$149)</f>
        <v>0</v>
      </c>
      <c r="F154" s="89">
        <f>(((D141*(1-'5.Closing Stock &amp; W Capital'!$D$18))+(C141*'5.Closing Stock &amp; W Capital'!$D$18))*$C154*F$149)</f>
        <v>0</v>
      </c>
      <c r="G154" s="89">
        <f>(((E141*(1-'5.Closing Stock &amp; W Capital'!$D$18))+(D141*'5.Closing Stock &amp; W Capital'!$D$18))*$C154*G$149)</f>
        <v>0</v>
      </c>
      <c r="H154" s="89">
        <f>(((F141*(1-'5.Closing Stock &amp; W Capital'!$D$18))+(E141*'5.Closing Stock &amp; W Capital'!$D$18))*$C154*H$149)</f>
        <v>0</v>
      </c>
      <c r="I154" s="89">
        <f>(((G141*(1-'5.Closing Stock &amp; W Capital'!$D$18))+(F141*'5.Closing Stock &amp; W Capital'!$D$18))*$C154*I$149)</f>
        <v>0</v>
      </c>
      <c r="J154" s="89">
        <f>(((H141*(1-'5.Closing Stock &amp; W Capital'!$D$18))+(G141*'5.Closing Stock &amp; W Capital'!$D$18))*$C154*J$149)</f>
        <v>0</v>
      </c>
    </row>
    <row r="155" spans="1:10">
      <c r="A155" s="88" t="str">
        <f>A125</f>
        <v>Pomegranate Juice</v>
      </c>
      <c r="B155" s="217" t="s">
        <v>542</v>
      </c>
      <c r="C155" s="217">
        <v>40</v>
      </c>
      <c r="D155" s="89">
        <f>(B142*(1-'5.Closing Stock &amp; W Capital'!$D$18)*$C155*D$149)</f>
        <v>0</v>
      </c>
      <c r="E155" s="89">
        <f>(((C142*(1-'5.Closing Stock &amp; W Capital'!$D$18))+(B142*'5.Closing Stock &amp; W Capital'!$D$18))*$C155*E$149)</f>
        <v>0</v>
      </c>
      <c r="F155" s="89">
        <f>(((D142*(1-'5.Closing Stock &amp; W Capital'!$D$18))+(C142*'5.Closing Stock &amp; W Capital'!$D$18))*$C155*F$149)</f>
        <v>0</v>
      </c>
      <c r="G155" s="89">
        <f>(((E142*(1-'5.Closing Stock &amp; W Capital'!$D$18))+(D142*'5.Closing Stock &amp; W Capital'!$D$18))*$C155*G$149)</f>
        <v>0</v>
      </c>
      <c r="H155" s="89">
        <f>(((F142*(1-'5.Closing Stock &amp; W Capital'!$D$18))+(E142*'5.Closing Stock &amp; W Capital'!$D$18))*$C155*H$149)</f>
        <v>0</v>
      </c>
      <c r="I155" s="89">
        <f>(((G142*(1-'5.Closing Stock &amp; W Capital'!$D$18))+(F142*'5.Closing Stock &amp; W Capital'!$D$18))*$C155*I$149)</f>
        <v>0</v>
      </c>
      <c r="J155" s="89">
        <f>(((H142*(1-'5.Closing Stock &amp; W Capital'!$D$18))+(G142*'5.Closing Stock &amp; W Capital'!$D$18))*$C155*J$149)</f>
        <v>0</v>
      </c>
    </row>
    <row r="156" spans="1:10">
      <c r="A156" s="88" t="str">
        <f>A126</f>
        <v>Pomegranate Powder</v>
      </c>
      <c r="B156" s="217" t="s">
        <v>369</v>
      </c>
      <c r="C156" s="217">
        <v>50</v>
      </c>
      <c r="D156" s="89">
        <f>(B143*(1-'5.Closing Stock &amp; W Capital'!$D$18)*$C156*D$149)</f>
        <v>0</v>
      </c>
      <c r="E156" s="89">
        <f>(((C143*(1-'5.Closing Stock &amp; W Capital'!$D$18))+(B143*'5.Closing Stock &amp; W Capital'!$D$18))*$C156*E$149)</f>
        <v>0</v>
      </c>
      <c r="F156" s="89">
        <f>(((D143*(1-'5.Closing Stock &amp; W Capital'!$D$18))+(C143*'5.Closing Stock &amp; W Capital'!$D$18))*$C156*F$149)</f>
        <v>0</v>
      </c>
      <c r="G156" s="89">
        <f>(((E143*(1-'5.Closing Stock &amp; W Capital'!$D$18))+(D143*'5.Closing Stock &amp; W Capital'!$D$18))*$C156*G$149)</f>
        <v>0</v>
      </c>
      <c r="H156" s="89">
        <f>(((F143*(1-'5.Closing Stock &amp; W Capital'!$D$18))+(E143*'5.Closing Stock &amp; W Capital'!$D$18))*$C156*H$149)</f>
        <v>0</v>
      </c>
      <c r="I156" s="89">
        <f>(((G143*(1-'5.Closing Stock &amp; W Capital'!$D$18))+(F143*'5.Closing Stock &amp; W Capital'!$D$18))*$C156*I$149)</f>
        <v>0</v>
      </c>
      <c r="J156" s="89">
        <f>(((H143*(1-'5.Closing Stock &amp; W Capital'!$D$18))+(G143*'5.Closing Stock &amp; W Capital'!$D$18))*$C156*J$149)</f>
        <v>0</v>
      </c>
    </row>
    <row r="157" spans="1:10">
      <c r="A157" s="88"/>
      <c r="B157" s="217"/>
      <c r="C157" s="217"/>
      <c r="D157" s="89"/>
      <c r="E157" s="89"/>
      <c r="F157" s="89"/>
      <c r="G157" s="89"/>
      <c r="H157" s="89"/>
      <c r="I157" s="89"/>
      <c r="J157" s="89"/>
    </row>
    <row r="158" spans="1:10">
      <c r="A158" s="88"/>
      <c r="B158" s="88"/>
      <c r="C158" s="88"/>
      <c r="D158" s="89"/>
      <c r="E158" s="89"/>
      <c r="F158" s="89"/>
      <c r="G158" s="89"/>
      <c r="H158" s="89"/>
      <c r="I158" s="89"/>
      <c r="J158" s="89"/>
    </row>
    <row r="159" spans="1:10">
      <c r="A159" s="90" t="s">
        <v>127</v>
      </c>
      <c r="B159" s="90"/>
      <c r="C159" s="90"/>
      <c r="D159" s="108">
        <f t="shared" ref="D159:J159" si="21">SUM(D154:D157)</f>
        <v>0</v>
      </c>
      <c r="E159" s="108">
        <f t="shared" si="21"/>
        <v>0</v>
      </c>
      <c r="F159" s="108">
        <f t="shared" si="21"/>
        <v>0</v>
      </c>
      <c r="G159" s="108">
        <f t="shared" si="21"/>
        <v>0</v>
      </c>
      <c r="H159" s="108">
        <f t="shared" si="21"/>
        <v>0</v>
      </c>
      <c r="I159" s="108">
        <f t="shared" si="21"/>
        <v>0</v>
      </c>
      <c r="J159" s="108">
        <f t="shared" si="21"/>
        <v>0</v>
      </c>
    </row>
    <row r="160" spans="1:10">
      <c r="A160" s="88"/>
      <c r="B160" s="88"/>
      <c r="C160" s="88"/>
      <c r="D160" s="89"/>
      <c r="E160" s="89"/>
      <c r="F160" s="89"/>
      <c r="G160" s="89"/>
      <c r="H160" s="89"/>
      <c r="I160" s="89"/>
      <c r="J160" s="89"/>
    </row>
    <row r="161" spans="1:10">
      <c r="A161" s="90" t="s">
        <v>143</v>
      </c>
      <c r="B161" s="90"/>
      <c r="C161" s="90"/>
      <c r="D161" s="89"/>
      <c r="E161" s="89"/>
      <c r="F161" s="89"/>
      <c r="G161" s="89"/>
      <c r="H161" s="89"/>
      <c r="I161" s="89"/>
      <c r="J161" s="89"/>
    </row>
    <row r="162" spans="1:10">
      <c r="A162" s="90" t="s">
        <v>316</v>
      </c>
      <c r="B162" s="90"/>
      <c r="C162" s="88"/>
      <c r="D162" s="89"/>
      <c r="E162" s="89"/>
      <c r="F162" s="89"/>
      <c r="G162" s="89"/>
      <c r="H162" s="89"/>
      <c r="I162" s="89"/>
      <c r="J162" s="89"/>
    </row>
    <row r="163" spans="1:10">
      <c r="A163" s="92" t="s">
        <v>547</v>
      </c>
      <c r="B163" s="217" t="s">
        <v>370</v>
      </c>
      <c r="C163" s="229">
        <v>6000</v>
      </c>
      <c r="D163" s="89">
        <f t="shared" ref="D163:J163" si="22">B62*$C163*D$149</f>
        <v>0</v>
      </c>
      <c r="E163" s="89">
        <f t="shared" si="22"/>
        <v>0</v>
      </c>
      <c r="F163" s="89">
        <f t="shared" si="22"/>
        <v>0</v>
      </c>
      <c r="G163" s="89">
        <f t="shared" si="22"/>
        <v>0</v>
      </c>
      <c r="H163" s="89">
        <f t="shared" si="22"/>
        <v>0</v>
      </c>
      <c r="I163" s="89">
        <f t="shared" si="22"/>
        <v>0</v>
      </c>
      <c r="J163" s="89">
        <f t="shared" si="22"/>
        <v>0</v>
      </c>
    </row>
    <row r="164" spans="1:10">
      <c r="A164" s="88" t="s">
        <v>548</v>
      </c>
      <c r="B164" s="217" t="s">
        <v>370</v>
      </c>
      <c r="C164" s="217">
        <v>2000</v>
      </c>
      <c r="D164" s="89">
        <f>(B62*10%)*$C164*D$149</f>
        <v>0</v>
      </c>
      <c r="E164" s="89">
        <f t="shared" ref="E164:J164" si="23">(C62*10%)*$C164*E$149</f>
        <v>0</v>
      </c>
      <c r="F164" s="89">
        <f t="shared" si="23"/>
        <v>0</v>
      </c>
      <c r="G164" s="89">
        <f t="shared" si="23"/>
        <v>0</v>
      </c>
      <c r="H164" s="89">
        <f t="shared" si="23"/>
        <v>0</v>
      </c>
      <c r="I164" s="89">
        <f t="shared" si="23"/>
        <v>0</v>
      </c>
      <c r="J164" s="89">
        <f t="shared" si="23"/>
        <v>0</v>
      </c>
    </row>
    <row r="165" spans="1:10">
      <c r="A165" s="88" t="s">
        <v>326</v>
      </c>
      <c r="B165" s="217">
        <v>5</v>
      </c>
      <c r="C165" s="217">
        <v>300</v>
      </c>
      <c r="D165" s="89">
        <f t="shared" ref="D165:J165" si="24">B12*$B$165*$C$165*D149</f>
        <v>0</v>
      </c>
      <c r="E165" s="89">
        <f t="shared" si="24"/>
        <v>0</v>
      </c>
      <c r="F165" s="89">
        <f t="shared" si="24"/>
        <v>0</v>
      </c>
      <c r="G165" s="89">
        <f t="shared" si="24"/>
        <v>0</v>
      </c>
      <c r="H165" s="89">
        <f t="shared" si="24"/>
        <v>0</v>
      </c>
      <c r="I165" s="89">
        <f t="shared" si="24"/>
        <v>0</v>
      </c>
      <c r="J165" s="89">
        <f t="shared" si="24"/>
        <v>0</v>
      </c>
    </row>
    <row r="166" spans="1:10">
      <c r="A166" s="88" t="s">
        <v>145</v>
      </c>
      <c r="B166" s="88">
        <f>'2.Capex Details'!H88*0.746*8</f>
        <v>0</v>
      </c>
      <c r="C166" s="217">
        <v>8</v>
      </c>
      <c r="D166" s="89">
        <f t="shared" ref="D166:J166" si="25">$B$166*$C$166*B12*D149</f>
        <v>0</v>
      </c>
      <c r="E166" s="89">
        <f t="shared" si="25"/>
        <v>0</v>
      </c>
      <c r="F166" s="89">
        <f t="shared" si="25"/>
        <v>0</v>
      </c>
      <c r="G166" s="89">
        <f t="shared" si="25"/>
        <v>0</v>
      </c>
      <c r="H166" s="89">
        <f t="shared" si="25"/>
        <v>0</v>
      </c>
      <c r="I166" s="89">
        <f t="shared" si="25"/>
        <v>0</v>
      </c>
      <c r="J166" s="89">
        <f t="shared" si="25"/>
        <v>0</v>
      </c>
    </row>
    <row r="167" spans="1:10">
      <c r="A167" s="88" t="s">
        <v>299</v>
      </c>
      <c r="B167" s="88" t="s">
        <v>370</v>
      </c>
      <c r="C167" s="217">
        <v>10</v>
      </c>
      <c r="D167" s="89">
        <f>B62*$C167*D$149</f>
        <v>0</v>
      </c>
      <c r="E167" s="89">
        <f t="shared" ref="E167:J167" si="26">C62*$C167*E$149</f>
        <v>0</v>
      </c>
      <c r="F167" s="89">
        <f t="shared" si="26"/>
        <v>0</v>
      </c>
      <c r="G167" s="89">
        <f t="shared" si="26"/>
        <v>0</v>
      </c>
      <c r="H167" s="89">
        <f t="shared" si="26"/>
        <v>0</v>
      </c>
      <c r="I167" s="89">
        <f t="shared" si="26"/>
        <v>0</v>
      </c>
      <c r="J167" s="89">
        <f t="shared" si="26"/>
        <v>0</v>
      </c>
    </row>
    <row r="168" spans="1:10">
      <c r="A168" s="102" t="s">
        <v>300</v>
      </c>
      <c r="B168" s="102"/>
      <c r="C168" s="231">
        <v>2</v>
      </c>
      <c r="D168" s="89">
        <f>SUM(B141:B143)*$C$168*D$149</f>
        <v>0</v>
      </c>
      <c r="E168" s="89">
        <f t="shared" ref="E168:J168" si="27">SUM(C141:C143)*$C$168*E$149</f>
        <v>0</v>
      </c>
      <c r="F168" s="89">
        <f t="shared" si="27"/>
        <v>0</v>
      </c>
      <c r="G168" s="89">
        <f t="shared" si="27"/>
        <v>0</v>
      </c>
      <c r="H168" s="89">
        <f t="shared" si="27"/>
        <v>0</v>
      </c>
      <c r="I168" s="89">
        <f t="shared" si="27"/>
        <v>0</v>
      </c>
      <c r="J168" s="89">
        <f t="shared" si="27"/>
        <v>0</v>
      </c>
    </row>
    <row r="169" spans="1:10">
      <c r="A169" s="88" t="s">
        <v>301</v>
      </c>
      <c r="B169" s="88"/>
      <c r="C169" s="217">
        <v>1</v>
      </c>
      <c r="D169" s="89">
        <f>SUM(B141:B143)*$C$169*D$149</f>
        <v>0</v>
      </c>
      <c r="E169" s="89">
        <f t="shared" ref="E169:J169" si="28">SUM(C141:C143)*$C$169*E$149</f>
        <v>0</v>
      </c>
      <c r="F169" s="89">
        <f t="shared" si="28"/>
        <v>0</v>
      </c>
      <c r="G169" s="89">
        <f t="shared" si="28"/>
        <v>0</v>
      </c>
      <c r="H169" s="89">
        <f t="shared" si="28"/>
        <v>0</v>
      </c>
      <c r="I169" s="89">
        <f t="shared" si="28"/>
        <v>0</v>
      </c>
      <c r="J169" s="89">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88" t="s">
        <v>349</v>
      </c>
      <c r="B174" s="89"/>
      <c r="C174" s="89"/>
      <c r="D174" s="89"/>
      <c r="E174" s="89">
        <f>'5.Closing Stock &amp; W Capital'!F8</f>
        <v>3036078.5035890904</v>
      </c>
      <c r="F174" s="89">
        <f>'5.Closing Stock &amp; W Capital'!G8</f>
        <v>3278964.7838762179</v>
      </c>
      <c r="G174" s="89">
        <f>'5.Closing Stock &amp; W Capital'!H8</f>
        <v>3538549.4959330857</v>
      </c>
      <c r="H174" s="89">
        <f>'5.Closing Stock &amp; W Capital'!I8</f>
        <v>3815895.2672359496</v>
      </c>
      <c r="I174" s="89">
        <f>'5.Closing Stock &amp; W Capital'!J8</f>
        <v>4112129.2419292675</v>
      </c>
      <c r="J174" s="89">
        <f>'5.Closing Stock &amp; W Capital'!K8</f>
        <v>4428446.8759238264</v>
      </c>
    </row>
    <row r="175" spans="1:10">
      <c r="A175" s="188" t="s">
        <v>350</v>
      </c>
      <c r="B175" s="89"/>
      <c r="C175" s="89"/>
      <c r="D175" s="89">
        <f>'5.Closing Stock &amp; W Capital'!E17</f>
        <v>3036078.5035890904</v>
      </c>
      <c r="E175" s="89">
        <f>'5.Closing Stock &amp; W Capital'!F17</f>
        <v>3278964.7838762179</v>
      </c>
      <c r="F175" s="89">
        <f>'5.Closing Stock &amp; W Capital'!G17</f>
        <v>3538549.4959330857</v>
      </c>
      <c r="G175" s="89">
        <f>'5.Closing Stock &amp; W Capital'!H17</f>
        <v>3815895.2672359496</v>
      </c>
      <c r="H175" s="89">
        <f>'5.Closing Stock &amp; W Capital'!I17</f>
        <v>4112129.2419292675</v>
      </c>
      <c r="I175" s="89">
        <f>'5.Closing Stock &amp; W Capital'!J17</f>
        <v>4428446.8759238264</v>
      </c>
      <c r="J175" s="89">
        <f>'5.Closing Stock &amp; W Capital'!K17</f>
        <v>4766115.9502130179</v>
      </c>
    </row>
    <row r="176" spans="1:10">
      <c r="A176" s="89"/>
      <c r="B176" s="89"/>
      <c r="C176" s="89"/>
      <c r="D176" s="89"/>
      <c r="E176" s="89"/>
      <c r="F176" s="89"/>
      <c r="G176" s="89"/>
      <c r="H176" s="89"/>
      <c r="I176" s="89"/>
      <c r="J176" s="89"/>
    </row>
    <row r="177" spans="1:10">
      <c r="A177" s="108" t="s">
        <v>327</v>
      </c>
      <c r="B177" s="89"/>
      <c r="C177" s="89"/>
      <c r="D177" s="108">
        <f t="shared" ref="D177:J177" si="29">SUM(D163:D174)-D175</f>
        <v>-3036078.5035890904</v>
      </c>
      <c r="E177" s="108">
        <f t="shared" si="29"/>
        <v>-242886.28028712748</v>
      </c>
      <c r="F177" s="108">
        <f t="shared" si="29"/>
        <v>-259584.71205686778</v>
      </c>
      <c r="G177" s="108">
        <f t="shared" si="29"/>
        <v>-277345.77130286396</v>
      </c>
      <c r="H177" s="108">
        <f t="shared" si="29"/>
        <v>-296233.9746933179</v>
      </c>
      <c r="I177" s="108">
        <f t="shared" si="29"/>
        <v>-316317.63399455883</v>
      </c>
      <c r="J177" s="108">
        <f t="shared" si="29"/>
        <v>-337669.07428919151</v>
      </c>
    </row>
    <row r="178" spans="1:10">
      <c r="A178" s="87"/>
      <c r="B178" s="87"/>
      <c r="C178" s="87"/>
      <c r="D178" s="87"/>
      <c r="E178" s="87"/>
      <c r="F178" s="87"/>
      <c r="G178" s="87"/>
      <c r="H178" s="87"/>
      <c r="I178" s="87"/>
      <c r="J178" s="87"/>
    </row>
    <row r="179" spans="1:10">
      <c r="A179" s="189" t="s">
        <v>314</v>
      </c>
      <c r="B179" s="189"/>
      <c r="C179" s="189"/>
      <c r="D179" s="108"/>
      <c r="E179" s="108"/>
      <c r="F179" s="108"/>
      <c r="G179" s="108"/>
      <c r="H179" s="108"/>
      <c r="I179" s="108"/>
      <c r="J179" s="108"/>
    </row>
    <row r="180" spans="1:10">
      <c r="A180" s="88" t="s">
        <v>190</v>
      </c>
      <c r="B180" s="217">
        <v>1</v>
      </c>
      <c r="C180" s="229"/>
      <c r="D180" s="89">
        <f t="shared" ref="D180:J180" si="30">$B$180*$C$180*12*D149</f>
        <v>0</v>
      </c>
      <c r="E180" s="89">
        <f t="shared" si="30"/>
        <v>0</v>
      </c>
      <c r="F180" s="89">
        <f t="shared" si="30"/>
        <v>0</v>
      </c>
      <c r="G180" s="89">
        <f t="shared" si="30"/>
        <v>0</v>
      </c>
      <c r="H180" s="89">
        <f t="shared" si="30"/>
        <v>0</v>
      </c>
      <c r="I180" s="89">
        <f t="shared" si="30"/>
        <v>0</v>
      </c>
      <c r="J180" s="89">
        <f t="shared" si="30"/>
        <v>0</v>
      </c>
    </row>
    <row r="181" spans="1:10">
      <c r="A181" s="88" t="s">
        <v>195</v>
      </c>
      <c r="B181" s="217">
        <v>2</v>
      </c>
      <c r="C181" s="229"/>
      <c r="D181" s="89">
        <f t="shared" ref="D181:J181" si="31">$B$181*$C$181*12*D149</f>
        <v>0</v>
      </c>
      <c r="E181" s="89">
        <f t="shared" si="31"/>
        <v>0</v>
      </c>
      <c r="F181" s="89">
        <f t="shared" si="31"/>
        <v>0</v>
      </c>
      <c r="G181" s="89">
        <f t="shared" si="31"/>
        <v>0</v>
      </c>
      <c r="H181" s="89">
        <f t="shared" si="31"/>
        <v>0</v>
      </c>
      <c r="I181" s="89">
        <f t="shared" si="31"/>
        <v>0</v>
      </c>
      <c r="J181" s="89">
        <f t="shared" si="31"/>
        <v>0</v>
      </c>
    </row>
    <row r="182" spans="1:10">
      <c r="A182" s="88"/>
      <c r="B182" s="217"/>
      <c r="C182" s="229"/>
      <c r="D182" s="89"/>
      <c r="E182" s="89"/>
      <c r="F182" s="89"/>
      <c r="G182" s="89"/>
      <c r="H182" s="89"/>
      <c r="I182" s="89"/>
      <c r="J182" s="89"/>
    </row>
    <row r="183" spans="1:10">
      <c r="A183" s="88"/>
      <c r="B183" s="217"/>
      <c r="C183" s="229"/>
      <c r="D183" s="89"/>
      <c r="E183" s="89"/>
      <c r="F183" s="89"/>
      <c r="G183" s="89"/>
      <c r="H183" s="89"/>
      <c r="I183" s="89"/>
      <c r="J183" s="89"/>
    </row>
    <row r="184" spans="1:10">
      <c r="A184" s="88"/>
      <c r="B184" s="217"/>
      <c r="C184" s="229"/>
      <c r="D184" s="89"/>
      <c r="E184" s="89"/>
      <c r="F184" s="89"/>
      <c r="G184" s="89"/>
      <c r="H184" s="89"/>
      <c r="I184" s="89"/>
      <c r="J184" s="89"/>
    </row>
    <row r="185" spans="1:10">
      <c r="A185" s="90" t="s">
        <v>314</v>
      </c>
      <c r="B185" s="90"/>
      <c r="C185" s="90"/>
      <c r="D185" s="108">
        <f>SUM(D180:D184)</f>
        <v>0</v>
      </c>
      <c r="E185" s="108">
        <f t="shared" ref="E185:J185" si="32">SUM(E180:E184)</f>
        <v>0</v>
      </c>
      <c r="F185" s="108">
        <f t="shared" si="32"/>
        <v>0</v>
      </c>
      <c r="G185" s="108">
        <f t="shared" si="32"/>
        <v>0</v>
      </c>
      <c r="H185" s="108">
        <f t="shared" si="32"/>
        <v>0</v>
      </c>
      <c r="I185" s="108">
        <f t="shared" si="32"/>
        <v>0</v>
      </c>
      <c r="J185" s="108">
        <f t="shared" si="32"/>
        <v>0</v>
      </c>
    </row>
    <row r="186" spans="1:10">
      <c r="A186" s="189" t="s">
        <v>302</v>
      </c>
      <c r="B186" s="189"/>
      <c r="C186" s="189"/>
      <c r="D186" s="108">
        <f>D177+D185</f>
        <v>-3036078.5035890904</v>
      </c>
      <c r="E186" s="108">
        <f t="shared" ref="E186:J186" si="33">E177+E185</f>
        <v>-242886.28028712748</v>
      </c>
      <c r="F186" s="108">
        <f t="shared" si="33"/>
        <v>-259584.71205686778</v>
      </c>
      <c r="G186" s="108">
        <f t="shared" si="33"/>
        <v>-277345.77130286396</v>
      </c>
      <c r="H186" s="108">
        <f t="shared" si="33"/>
        <v>-296233.9746933179</v>
      </c>
      <c r="I186" s="108">
        <f t="shared" si="33"/>
        <v>-316317.63399455883</v>
      </c>
      <c r="J186" s="108">
        <f t="shared" si="33"/>
        <v>-337669.07428919151</v>
      </c>
    </row>
    <row r="187" spans="1:10">
      <c r="A187" s="88"/>
      <c r="B187" s="88"/>
      <c r="C187" s="88"/>
      <c r="D187" s="89"/>
      <c r="E187" s="89"/>
      <c r="F187" s="89"/>
      <c r="G187" s="89"/>
      <c r="H187" s="89"/>
      <c r="I187" s="89"/>
      <c r="J187" s="89"/>
    </row>
    <row r="188" spans="1:10">
      <c r="A188" s="90" t="s">
        <v>7</v>
      </c>
      <c r="B188" s="90"/>
      <c r="C188" s="90"/>
      <c r="D188" s="108">
        <f t="shared" ref="D188:J188" si="34">D159-D186</f>
        <v>3036078.5035890904</v>
      </c>
      <c r="E188" s="108">
        <f t="shared" si="34"/>
        <v>242886.28028712748</v>
      </c>
      <c r="F188" s="108">
        <f t="shared" si="34"/>
        <v>259584.71205686778</v>
      </c>
      <c r="G188" s="108">
        <f t="shared" si="34"/>
        <v>277345.77130286396</v>
      </c>
      <c r="H188" s="108">
        <f t="shared" si="34"/>
        <v>296233.9746933179</v>
      </c>
      <c r="I188" s="108">
        <f t="shared" si="34"/>
        <v>316317.63399455883</v>
      </c>
      <c r="J188" s="108">
        <f t="shared" si="34"/>
        <v>337669.07428919151</v>
      </c>
    </row>
    <row r="189" spans="1:10">
      <c r="A189" s="109"/>
      <c r="B189" s="109"/>
      <c r="C189" s="109"/>
      <c r="D189" s="87"/>
      <c r="E189" s="87"/>
      <c r="F189" s="87"/>
      <c r="G189" s="87"/>
      <c r="H189" s="87"/>
      <c r="I189" s="87"/>
      <c r="J189" s="87"/>
    </row>
    <row r="190" spans="1:10">
      <c r="A190" s="87"/>
      <c r="B190" s="87"/>
      <c r="C190" s="87"/>
      <c r="D190" s="87"/>
      <c r="E190" s="87"/>
      <c r="F190" s="87"/>
      <c r="G190" s="87"/>
      <c r="H190" s="87"/>
      <c r="I190" s="87"/>
      <c r="J190" s="87"/>
    </row>
    <row r="191" spans="1:10">
      <c r="A191" s="87"/>
      <c r="B191" s="87"/>
      <c r="C191" s="87"/>
      <c r="D191" s="87"/>
      <c r="E191" s="87"/>
      <c r="F191" s="87"/>
      <c r="G191" s="87"/>
      <c r="H191" s="87"/>
      <c r="I191" s="87"/>
      <c r="J191" s="87"/>
    </row>
    <row r="192" spans="1:10">
      <c r="A192" s="417" t="s">
        <v>434</v>
      </c>
      <c r="B192" s="417"/>
      <c r="C192" s="417"/>
      <c r="D192" s="417"/>
      <c r="E192" s="417"/>
      <c r="F192" s="417"/>
      <c r="G192" s="417"/>
      <c r="H192" s="417"/>
      <c r="I192" s="417"/>
      <c r="J192" s="417"/>
    </row>
    <row r="194" spans="1:5">
      <c r="A194" t="s">
        <v>555</v>
      </c>
    </row>
    <row r="195" spans="1:5">
      <c r="A195">
        <v>1</v>
      </c>
      <c r="B195" t="s">
        <v>568</v>
      </c>
    </row>
    <row r="196" spans="1:5">
      <c r="A196">
        <v>2</v>
      </c>
      <c r="B196" t="s">
        <v>569</v>
      </c>
      <c r="C196" s="60"/>
      <c r="D196" s="60"/>
      <c r="E196" s="60"/>
    </row>
    <row r="197" spans="1:5">
      <c r="A197">
        <v>3</v>
      </c>
      <c r="B197" s="87" t="s">
        <v>621</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zoomScale="85" zoomScaleNormal="85" zoomScaleSheetLayoutView="100" workbookViewId="0">
      <selection activeCell="D6" sqref="D6"/>
    </sheetView>
  </sheetViews>
  <sheetFormatPr defaultRowHeight="14.5"/>
  <cols>
    <col min="2" max="2" width="7.54296875" bestFit="1" customWidth="1"/>
    <col min="3" max="3" width="26.26953125" bestFit="1" customWidth="1"/>
    <col min="4" max="4" width="15" customWidth="1"/>
    <col min="5" max="5" width="16" customWidth="1"/>
    <col min="6" max="6" width="17.81640625" customWidth="1"/>
  </cols>
  <sheetData>
    <row r="2" spans="1:6" ht="17.5">
      <c r="B2" s="416" t="s">
        <v>572</v>
      </c>
      <c r="C2" s="416"/>
      <c r="D2" s="416"/>
      <c r="E2" s="416"/>
      <c r="F2" s="416"/>
    </row>
    <row r="4" spans="1:6">
      <c r="B4" s="316" t="s">
        <v>146</v>
      </c>
      <c r="C4" s="316" t="s">
        <v>128</v>
      </c>
      <c r="D4" s="316" t="s">
        <v>160</v>
      </c>
      <c r="E4" s="321" t="s">
        <v>479</v>
      </c>
      <c r="F4" s="321" t="s">
        <v>480</v>
      </c>
    </row>
    <row r="5" spans="1:6">
      <c r="B5" s="317">
        <v>1</v>
      </c>
      <c r="C5" s="318" t="str">
        <f>'2.Capex Details'!B2</f>
        <v>Land and Building</v>
      </c>
      <c r="D5" s="322">
        <f>'2.Capex Details'!G12</f>
        <v>10014584.52</v>
      </c>
      <c r="E5" s="323">
        <v>0.6</v>
      </c>
      <c r="F5" s="324">
        <f t="shared" ref="F5:F10" si="0">D5*E5</f>
        <v>6008750.7119999994</v>
      </c>
    </row>
    <row r="6" spans="1:6">
      <c r="B6" s="317">
        <v>2</v>
      </c>
      <c r="C6" s="318" t="str">
        <f>'2.Capex Details'!B17</f>
        <v>Machinery and Equipment</v>
      </c>
      <c r="D6" s="322">
        <f>'2.Capex Details'!G90</f>
        <v>27477218</v>
      </c>
      <c r="E6" s="323">
        <v>0.6</v>
      </c>
      <c r="F6" s="324">
        <f t="shared" si="0"/>
        <v>16486330.799999999</v>
      </c>
    </row>
    <row r="7" spans="1:6">
      <c r="B7" s="317">
        <v>3</v>
      </c>
      <c r="C7" s="318" t="str">
        <f>'2.Capex Details'!B96</f>
        <v>Furniture and Fixture</v>
      </c>
      <c r="D7" s="322">
        <f>'2.Capex Details'!F105</f>
        <v>0</v>
      </c>
      <c r="E7" s="323">
        <v>0.6</v>
      </c>
      <c r="F7" s="324">
        <f t="shared" si="0"/>
        <v>0</v>
      </c>
    </row>
    <row r="8" spans="1:6">
      <c r="B8" s="317">
        <v>4</v>
      </c>
      <c r="C8" s="318" t="str">
        <f>'2.Capex Details'!B110</f>
        <v>IT &amp; It Infrastracture</v>
      </c>
      <c r="D8" s="322">
        <f>'2.Capex Details'!F119</f>
        <v>0</v>
      </c>
      <c r="E8" s="323">
        <v>0.6</v>
      </c>
      <c r="F8" s="324">
        <f t="shared" si="0"/>
        <v>0</v>
      </c>
    </row>
    <row r="9" spans="1:6" ht="26">
      <c r="B9" s="317">
        <v>5</v>
      </c>
      <c r="C9" s="318" t="str">
        <f>'2.Capex Details'!B124</f>
        <v>Transport vehical  (Refer van and other)</v>
      </c>
      <c r="D9" s="322">
        <f>'2.Capex Details'!F130</f>
        <v>0</v>
      </c>
      <c r="E9" s="323">
        <v>0.6</v>
      </c>
      <c r="F9" s="324">
        <f t="shared" si="0"/>
        <v>0</v>
      </c>
    </row>
    <row r="10" spans="1:6">
      <c r="B10" s="317">
        <v>6</v>
      </c>
      <c r="C10" s="318" t="str">
        <f>'2.Capex Details'!B134</f>
        <v>Preliminary Expenses</v>
      </c>
      <c r="D10" s="322">
        <f>'2.Capex Details'!D142</f>
        <v>30000</v>
      </c>
      <c r="E10" s="323">
        <v>0.6</v>
      </c>
      <c r="F10" s="324">
        <f t="shared" si="0"/>
        <v>18000</v>
      </c>
    </row>
    <row r="11" spans="1:6">
      <c r="B11" s="317">
        <v>7</v>
      </c>
      <c r="C11" s="318" t="s">
        <v>158</v>
      </c>
      <c r="D11" s="322">
        <f>'5.Closing Stock &amp; W Capital'!E56</f>
        <v>1184444.1459436936</v>
      </c>
      <c r="E11" s="325"/>
      <c r="F11" s="325"/>
    </row>
    <row r="12" spans="1:6">
      <c r="B12" s="415" t="s">
        <v>1</v>
      </c>
      <c r="C12" s="415"/>
      <c r="D12" s="326">
        <f>SUM(D5:D11)</f>
        <v>38706246.66594369</v>
      </c>
      <c r="E12" s="325"/>
      <c r="F12" s="326">
        <f>SUM(F5:F11)</f>
        <v>22513081.511999998</v>
      </c>
    </row>
    <row r="13" spans="1:6">
      <c r="D13" s="18"/>
    </row>
    <row r="14" spans="1:6" ht="25.5" customHeight="1">
      <c r="A14" s="418" t="s">
        <v>427</v>
      </c>
      <c r="B14" s="418"/>
      <c r="C14" s="418"/>
      <c r="D14" s="418"/>
      <c r="E14" s="418"/>
      <c r="F14" s="418"/>
    </row>
    <row r="16" spans="1:6" ht="17.5">
      <c r="B16" s="416" t="s">
        <v>573</v>
      </c>
      <c r="C16" s="416"/>
      <c r="D16" s="416"/>
      <c r="E16" s="416"/>
      <c r="F16" s="416"/>
    </row>
    <row r="18" spans="2:7">
      <c r="B18" s="315" t="s">
        <v>146</v>
      </c>
      <c r="C18" s="316" t="s">
        <v>128</v>
      </c>
      <c r="D18" s="316" t="s">
        <v>668</v>
      </c>
      <c r="E18" s="316" t="s">
        <v>160</v>
      </c>
    </row>
    <row r="19" spans="2:7">
      <c r="B19" s="317">
        <v>1</v>
      </c>
      <c r="C19" s="318" t="s">
        <v>339</v>
      </c>
      <c r="D19" s="353"/>
      <c r="E19" s="319">
        <f>F12</f>
        <v>22513081.511999998</v>
      </c>
    </row>
    <row r="20" spans="2:7">
      <c r="B20" s="317">
        <v>2</v>
      </c>
      <c r="C20" s="318" t="s">
        <v>159</v>
      </c>
      <c r="D20" s="347">
        <v>0.3</v>
      </c>
      <c r="E20" s="319">
        <f>SUM(D5:D9)*D20</f>
        <v>11247540.755999999</v>
      </c>
    </row>
    <row r="21" spans="2:7">
      <c r="B21" s="317">
        <v>3</v>
      </c>
      <c r="C21" s="318" t="s">
        <v>135</v>
      </c>
      <c r="D21" s="319"/>
      <c r="E21" s="319">
        <f>D12-E19-E20</f>
        <v>4945624.3979436923</v>
      </c>
    </row>
    <row r="22" spans="2:7">
      <c r="B22" s="415" t="s">
        <v>1</v>
      </c>
      <c r="C22" s="415"/>
      <c r="D22" s="320"/>
      <c r="E22" s="320">
        <f>SUM(E19:E21)</f>
        <v>38706246.66594369</v>
      </c>
    </row>
    <row r="24" spans="2:7">
      <c r="B24" s="417" t="s">
        <v>428</v>
      </c>
      <c r="C24" s="417"/>
      <c r="D24" s="417"/>
      <c r="E24" s="417"/>
      <c r="F24" s="417"/>
    </row>
    <row r="26" spans="2:7" ht="17.5">
      <c r="B26" s="414" t="s">
        <v>574</v>
      </c>
      <c r="C26" s="414"/>
      <c r="D26" s="414"/>
      <c r="E26" s="414"/>
      <c r="F26" s="414"/>
    </row>
    <row r="27" spans="2:7">
      <c r="B27" s="327" t="s">
        <v>146</v>
      </c>
      <c r="C27" s="328" t="s">
        <v>624</v>
      </c>
      <c r="D27" s="329" t="s">
        <v>625</v>
      </c>
      <c r="E27" s="330" t="s">
        <v>626</v>
      </c>
      <c r="F27" s="412" t="s">
        <v>627</v>
      </c>
      <c r="G27" s="413"/>
    </row>
    <row r="28" spans="2:7" ht="26">
      <c r="B28" s="331">
        <v>1</v>
      </c>
      <c r="C28" s="318" t="s">
        <v>386</v>
      </c>
      <c r="D28" s="332">
        <f>'9. Financial indiacators'!C49</f>
        <v>0.4120075039496886</v>
      </c>
      <c r="E28" s="331" t="s">
        <v>387</v>
      </c>
      <c r="F28" s="338" t="s">
        <v>628</v>
      </c>
      <c r="G28" s="331" t="s">
        <v>388</v>
      </c>
    </row>
    <row r="29" spans="2:7" ht="39">
      <c r="B29" s="331">
        <v>2</v>
      </c>
      <c r="C29" s="318" t="s">
        <v>389</v>
      </c>
      <c r="D29" s="333">
        <f>'9. Financial indiacators'!C85</f>
        <v>0.20105873905754348</v>
      </c>
      <c r="E29" s="331" t="s">
        <v>387</v>
      </c>
      <c r="F29" s="338" t="s">
        <v>629</v>
      </c>
      <c r="G29" s="331" t="s">
        <v>390</v>
      </c>
    </row>
    <row r="30" spans="2:7" ht="39">
      <c r="B30" s="331">
        <v>3</v>
      </c>
      <c r="C30" s="318" t="s">
        <v>391</v>
      </c>
      <c r="D30" s="332">
        <f>'9. Financial indiacators'!C16</f>
        <v>0.13922599377703615</v>
      </c>
      <c r="E30" s="331" t="s">
        <v>387</v>
      </c>
      <c r="F30" s="338" t="s">
        <v>630</v>
      </c>
      <c r="G30" s="331" t="s">
        <v>392</v>
      </c>
    </row>
    <row r="31" spans="2:7" ht="65">
      <c r="B31" s="331">
        <v>4</v>
      </c>
      <c r="C31" s="318" t="s">
        <v>393</v>
      </c>
      <c r="D31" s="334">
        <f>'9. Financial indiacators'!C73</f>
        <v>5488355.6006787047</v>
      </c>
      <c r="E31" s="331" t="s">
        <v>397</v>
      </c>
      <c r="F31" s="338" t="s">
        <v>631</v>
      </c>
      <c r="G31" s="331" t="s">
        <v>394</v>
      </c>
    </row>
    <row r="32" spans="2:7" ht="39">
      <c r="B32" s="331">
        <v>5</v>
      </c>
      <c r="C32" s="318" t="s">
        <v>395</v>
      </c>
      <c r="D32" s="335">
        <f>'9. Financial indiacators'!D101</f>
        <v>4.5712457821679653</v>
      </c>
      <c r="E32" s="331" t="s">
        <v>387</v>
      </c>
      <c r="F32" s="338" t="s">
        <v>632</v>
      </c>
      <c r="G32" s="331" t="s">
        <v>398</v>
      </c>
    </row>
    <row r="33" spans="2:7" ht="39">
      <c r="B33" s="331">
        <v>6</v>
      </c>
      <c r="C33" s="336" t="s">
        <v>396</v>
      </c>
      <c r="D33" s="335">
        <f>'9. Financial indiacators'!C120</f>
        <v>1.8710001956544116</v>
      </c>
      <c r="E33" s="337" t="s">
        <v>387</v>
      </c>
      <c r="F33" s="338" t="s">
        <v>633</v>
      </c>
      <c r="G33" s="336"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4"/>
  <sheetViews>
    <sheetView topLeftCell="A67" zoomScale="55" zoomScaleNormal="55" zoomScaleSheetLayoutView="44" workbookViewId="0">
      <selection activeCell="G74" sqref="G74"/>
    </sheetView>
  </sheetViews>
  <sheetFormatPr defaultColWidth="9.1796875" defaultRowHeight="33.5"/>
  <cols>
    <col min="1" max="1" width="9.1796875" style="354" customWidth="1"/>
    <col min="2" max="2" width="27" style="354" customWidth="1"/>
    <col min="3" max="3" width="41.54296875" style="354" customWidth="1"/>
    <col min="4" max="4" width="18.81640625" style="354" bestFit="1" customWidth="1"/>
    <col min="5" max="5" width="17" style="354" customWidth="1"/>
    <col min="6" max="7" width="29.453125" style="354" bestFit="1" customWidth="1"/>
    <col min="8" max="8" width="26.453125" style="354" customWidth="1"/>
    <col min="9" max="16384" width="9.1796875" style="354"/>
  </cols>
  <sheetData>
    <row r="2" spans="2:7">
      <c r="B2" s="420" t="s">
        <v>156</v>
      </c>
      <c r="C2" s="420"/>
      <c r="D2" s="420"/>
      <c r="E2" s="420"/>
      <c r="F2" s="420"/>
      <c r="G2" s="420"/>
    </row>
    <row r="4" spans="2:7" ht="65">
      <c r="B4" s="355" t="s">
        <v>146</v>
      </c>
      <c r="C4" s="355" t="s">
        <v>128</v>
      </c>
      <c r="D4" s="355" t="s">
        <v>133</v>
      </c>
      <c r="E4" s="355" t="s">
        <v>147</v>
      </c>
      <c r="F4" s="355" t="s">
        <v>148</v>
      </c>
      <c r="G4" s="355" t="s">
        <v>160</v>
      </c>
    </row>
    <row r="5" spans="2:7">
      <c r="B5" s="356">
        <v>1</v>
      </c>
      <c r="C5" s="356" t="s">
        <v>149</v>
      </c>
      <c r="D5" s="356" t="s">
        <v>150</v>
      </c>
      <c r="E5" s="357"/>
      <c r="F5" s="358"/>
      <c r="G5" s="359" t="s">
        <v>151</v>
      </c>
    </row>
    <row r="6" spans="2:7">
      <c r="B6" s="356">
        <v>2</v>
      </c>
      <c r="C6" s="356" t="s">
        <v>713</v>
      </c>
      <c r="D6" s="360"/>
      <c r="E6" s="361"/>
      <c r="F6" s="362">
        <v>8664584.5199999996</v>
      </c>
      <c r="G6" s="362">
        <v>8664584.5199999996</v>
      </c>
    </row>
    <row r="7" spans="2:7" ht="66">
      <c r="B7" s="356">
        <v>3</v>
      </c>
      <c r="C7" s="356" t="s">
        <v>714</v>
      </c>
      <c r="D7" s="360"/>
      <c r="E7" s="361"/>
      <c r="F7" s="362">
        <v>1350000</v>
      </c>
      <c r="G7" s="362">
        <v>1350000</v>
      </c>
    </row>
    <row r="8" spans="2:7">
      <c r="B8" s="356"/>
      <c r="C8" s="356"/>
      <c r="D8" s="360"/>
      <c r="E8" s="361"/>
      <c r="F8" s="362"/>
      <c r="G8" s="363">
        <f>E8*F8</f>
        <v>0</v>
      </c>
    </row>
    <row r="9" spans="2:7">
      <c r="B9" s="356"/>
      <c r="C9" s="356"/>
      <c r="D9" s="360"/>
      <c r="E9" s="361"/>
      <c r="F9" s="362"/>
      <c r="G9" s="363">
        <f>E9*F9</f>
        <v>0</v>
      </c>
    </row>
    <row r="10" spans="2:7">
      <c r="B10" s="356"/>
      <c r="C10" s="356"/>
      <c r="D10" s="360"/>
      <c r="E10" s="361"/>
      <c r="F10" s="362"/>
      <c r="G10" s="363">
        <f>E10*F10</f>
        <v>0</v>
      </c>
    </row>
    <row r="11" spans="2:7">
      <c r="B11" s="356"/>
      <c r="C11" s="356"/>
      <c r="D11" s="360"/>
      <c r="E11" s="361"/>
      <c r="F11" s="362"/>
      <c r="G11" s="363">
        <f>E11*F11</f>
        <v>0</v>
      </c>
    </row>
    <row r="12" spans="2:7">
      <c r="B12" s="419" t="s">
        <v>1</v>
      </c>
      <c r="C12" s="419"/>
      <c r="D12" s="419"/>
      <c r="E12" s="419"/>
      <c r="F12" s="419"/>
      <c r="G12" s="364">
        <f>SUM(G6:G11)</f>
        <v>10014584.52</v>
      </c>
    </row>
    <row r="15" spans="2:7">
      <c r="B15" s="421" t="s">
        <v>423</v>
      </c>
      <c r="C15" s="421"/>
      <c r="D15" s="421"/>
      <c r="E15" s="421"/>
      <c r="F15" s="421"/>
      <c r="G15" s="421"/>
    </row>
    <row r="17" spans="1:8">
      <c r="A17" s="354">
        <v>2.2000000000000002</v>
      </c>
      <c r="B17" s="420" t="s">
        <v>157</v>
      </c>
      <c r="C17" s="420"/>
      <c r="D17" s="420"/>
      <c r="E17" s="420"/>
      <c r="F17" s="420"/>
      <c r="G17" s="420"/>
      <c r="H17" s="420"/>
    </row>
    <row r="18" spans="1:8">
      <c r="B18" s="365"/>
    </row>
    <row r="19" spans="1:8" ht="97.5">
      <c r="B19" s="355" t="s">
        <v>146</v>
      </c>
      <c r="C19" s="355" t="s">
        <v>152</v>
      </c>
      <c r="D19" s="355" t="s">
        <v>163</v>
      </c>
      <c r="E19" s="355" t="s">
        <v>153</v>
      </c>
      <c r="F19" s="355" t="s">
        <v>154</v>
      </c>
      <c r="G19" s="355" t="s">
        <v>160</v>
      </c>
      <c r="H19" s="355" t="s">
        <v>155</v>
      </c>
    </row>
    <row r="20" spans="1:8">
      <c r="B20" s="366"/>
      <c r="C20" s="367"/>
      <c r="D20" s="367"/>
      <c r="E20" s="367"/>
      <c r="F20" s="367"/>
      <c r="G20" s="368"/>
      <c r="H20" s="367"/>
    </row>
    <row r="21" spans="1:8">
      <c r="B21" s="369" t="s">
        <v>175</v>
      </c>
      <c r="C21" s="370" t="s">
        <v>372</v>
      </c>
      <c r="D21" s="370"/>
      <c r="E21" s="369"/>
      <c r="F21" s="371"/>
      <c r="G21" s="368">
        <f t="shared" ref="G21:G31" si="0">E21*F21</f>
        <v>0</v>
      </c>
      <c r="H21" s="372"/>
    </row>
    <row r="22" spans="1:8">
      <c r="B22" s="369"/>
      <c r="C22" s="370"/>
      <c r="D22" s="370"/>
      <c r="E22" s="369"/>
      <c r="F22" s="371"/>
      <c r="G22" s="368">
        <f t="shared" si="0"/>
        <v>0</v>
      </c>
      <c r="H22" s="372"/>
    </row>
    <row r="23" spans="1:8">
      <c r="B23" s="369"/>
      <c r="C23" s="370"/>
      <c r="D23" s="370"/>
      <c r="E23" s="369"/>
      <c r="F23" s="371"/>
      <c r="G23" s="368">
        <f t="shared" si="0"/>
        <v>0</v>
      </c>
      <c r="H23" s="372"/>
    </row>
    <row r="24" spans="1:8">
      <c r="B24" s="369"/>
      <c r="C24" s="370"/>
      <c r="D24" s="370"/>
      <c r="E24" s="369"/>
      <c r="F24" s="371"/>
      <c r="G24" s="368">
        <f t="shared" si="0"/>
        <v>0</v>
      </c>
      <c r="H24" s="372"/>
    </row>
    <row r="25" spans="1:8">
      <c r="B25" s="369"/>
      <c r="C25" s="370"/>
      <c r="D25" s="370"/>
      <c r="E25" s="369"/>
      <c r="F25" s="371"/>
      <c r="G25" s="368">
        <f t="shared" si="0"/>
        <v>0</v>
      </c>
      <c r="H25" s="372"/>
    </row>
    <row r="26" spans="1:8">
      <c r="B26" s="369"/>
      <c r="C26" s="370"/>
      <c r="D26" s="370"/>
      <c r="E26" s="369"/>
      <c r="F26" s="371"/>
      <c r="G26" s="368">
        <f t="shared" si="0"/>
        <v>0</v>
      </c>
      <c r="H26" s="372"/>
    </row>
    <row r="27" spans="1:8">
      <c r="B27" s="369"/>
      <c r="C27" s="370"/>
      <c r="D27" s="370"/>
      <c r="E27" s="369"/>
      <c r="F27" s="371"/>
      <c r="G27" s="368">
        <f t="shared" si="0"/>
        <v>0</v>
      </c>
      <c r="H27" s="372"/>
    </row>
    <row r="28" spans="1:8">
      <c r="B28" s="369"/>
      <c r="C28" s="370"/>
      <c r="D28" s="370"/>
      <c r="E28" s="369"/>
      <c r="F28" s="371"/>
      <c r="G28" s="368">
        <f t="shared" si="0"/>
        <v>0</v>
      </c>
      <c r="H28" s="372"/>
    </row>
    <row r="29" spans="1:8">
      <c r="B29" s="369"/>
      <c r="C29" s="370"/>
      <c r="D29" s="369"/>
      <c r="E29" s="369"/>
      <c r="F29" s="371"/>
      <c r="G29" s="368">
        <f t="shared" si="0"/>
        <v>0</v>
      </c>
      <c r="H29" s="372"/>
    </row>
    <row r="30" spans="1:8">
      <c r="B30" s="369"/>
      <c r="C30" s="370"/>
      <c r="D30" s="369"/>
      <c r="E30" s="369"/>
      <c r="F30" s="371"/>
      <c r="G30" s="368">
        <f t="shared" si="0"/>
        <v>0</v>
      </c>
      <c r="H30" s="372"/>
    </row>
    <row r="31" spans="1:8">
      <c r="B31" s="369"/>
      <c r="C31" s="370"/>
      <c r="D31" s="369"/>
      <c r="E31" s="369"/>
      <c r="F31" s="371"/>
      <c r="G31" s="368">
        <f t="shared" si="0"/>
        <v>0</v>
      </c>
      <c r="H31" s="372"/>
    </row>
    <row r="32" spans="1:8">
      <c r="B32" s="423" t="s">
        <v>173</v>
      </c>
      <c r="C32" s="423"/>
      <c r="D32" s="369"/>
      <c r="E32" s="369"/>
      <c r="F32" s="373"/>
      <c r="G32" s="368">
        <f>SUM(G21:G31)</f>
        <v>0</v>
      </c>
      <c r="H32" s="368">
        <f>SUM(H21:H31)</f>
        <v>0</v>
      </c>
    </row>
    <row r="33" spans="2:8">
      <c r="B33" s="369" t="s">
        <v>176</v>
      </c>
      <c r="C33" s="370" t="s">
        <v>297</v>
      </c>
      <c r="D33" s="366"/>
      <c r="E33" s="366"/>
      <c r="F33" s="368"/>
      <c r="G33" s="368"/>
      <c r="H33" s="367"/>
    </row>
    <row r="34" spans="2:8" ht="66">
      <c r="B34" s="366" t="s">
        <v>241</v>
      </c>
      <c r="C34" s="374" t="s">
        <v>712</v>
      </c>
      <c r="D34" s="374"/>
      <c r="E34" s="366"/>
      <c r="F34" s="368"/>
      <c r="G34" s="368">
        <f>21286000+3803625</f>
        <v>25089625</v>
      </c>
      <c r="H34" s="367">
        <v>335.5</v>
      </c>
    </row>
    <row r="35" spans="2:8">
      <c r="B35" s="366">
        <v>1</v>
      </c>
      <c r="C35" s="374" t="s">
        <v>721</v>
      </c>
      <c r="D35" s="374"/>
      <c r="E35" s="366">
        <v>2</v>
      </c>
      <c r="F35" s="368">
        <f>290000*2</f>
        <v>580000</v>
      </c>
      <c r="G35" s="368"/>
      <c r="H35" s="367"/>
    </row>
    <row r="36" spans="2:8">
      <c r="B36" s="366">
        <v>2</v>
      </c>
      <c r="C36" s="374" t="s">
        <v>722</v>
      </c>
      <c r="D36" s="374"/>
      <c r="E36" s="366">
        <v>2</v>
      </c>
      <c r="F36" s="368">
        <f>2*250000</f>
        <v>500000</v>
      </c>
      <c r="G36" s="368"/>
      <c r="H36" s="367"/>
    </row>
    <row r="37" spans="2:8">
      <c r="B37" s="366">
        <v>3</v>
      </c>
      <c r="C37" s="374" t="s">
        <v>723</v>
      </c>
      <c r="D37" s="374"/>
      <c r="E37" s="366">
        <v>1</v>
      </c>
      <c r="F37" s="368">
        <v>275000</v>
      </c>
      <c r="G37" s="368"/>
      <c r="H37" s="367"/>
    </row>
    <row r="38" spans="2:8">
      <c r="B38" s="366">
        <v>4</v>
      </c>
      <c r="C38" s="374" t="s">
        <v>724</v>
      </c>
      <c r="D38" s="374"/>
      <c r="E38" s="366">
        <v>1</v>
      </c>
      <c r="F38" s="368">
        <v>750000</v>
      </c>
      <c r="G38" s="368"/>
      <c r="H38" s="367"/>
    </row>
    <row r="39" spans="2:8">
      <c r="B39" s="366">
        <f>B38+1</f>
        <v>5</v>
      </c>
      <c r="C39" s="374" t="s">
        <v>725</v>
      </c>
      <c r="D39" s="374"/>
      <c r="E39" s="366">
        <v>10</v>
      </c>
      <c r="F39" s="368">
        <f>10*170000</f>
        <v>1700000</v>
      </c>
      <c r="G39" s="368"/>
      <c r="H39" s="367"/>
    </row>
    <row r="40" spans="2:8">
      <c r="B40" s="366">
        <f t="shared" ref="B40:B61" si="1">B39+1</f>
        <v>6</v>
      </c>
      <c r="C40" s="374" t="s">
        <v>725</v>
      </c>
      <c r="D40" s="374"/>
      <c r="E40" s="366">
        <v>1</v>
      </c>
      <c r="F40" s="368">
        <v>135000</v>
      </c>
      <c r="G40" s="368"/>
      <c r="H40" s="367"/>
    </row>
    <row r="41" spans="2:8">
      <c r="B41" s="366">
        <f t="shared" si="1"/>
        <v>7</v>
      </c>
      <c r="C41" s="374" t="s">
        <v>726</v>
      </c>
      <c r="D41" s="374"/>
      <c r="E41" s="366">
        <v>3</v>
      </c>
      <c r="F41" s="368">
        <f>3*209000</f>
        <v>627000</v>
      </c>
      <c r="G41" s="368"/>
      <c r="H41" s="367"/>
    </row>
    <row r="42" spans="2:8">
      <c r="B42" s="366">
        <f t="shared" si="1"/>
        <v>8</v>
      </c>
      <c r="C42" s="374" t="s">
        <v>726</v>
      </c>
      <c r="D42" s="374"/>
      <c r="E42" s="366">
        <v>4</v>
      </c>
      <c r="F42" s="368">
        <f>4*187000</f>
        <v>748000</v>
      </c>
      <c r="G42" s="368"/>
      <c r="H42" s="367"/>
    </row>
    <row r="43" spans="2:8">
      <c r="B43" s="366">
        <f t="shared" si="1"/>
        <v>9</v>
      </c>
      <c r="C43" s="374" t="s">
        <v>726</v>
      </c>
      <c r="D43" s="374"/>
      <c r="E43" s="366">
        <v>33</v>
      </c>
      <c r="F43" s="368">
        <f>33*154000</f>
        <v>5082000</v>
      </c>
      <c r="G43" s="368"/>
      <c r="H43" s="367"/>
    </row>
    <row r="44" spans="2:8">
      <c r="B44" s="366">
        <f t="shared" si="1"/>
        <v>10</v>
      </c>
      <c r="C44" s="374" t="s">
        <v>727</v>
      </c>
      <c r="D44" s="374"/>
      <c r="E44" s="366">
        <v>7</v>
      </c>
      <c r="F44" s="368">
        <f>7*170000</f>
        <v>1190000</v>
      </c>
      <c r="G44" s="368"/>
      <c r="H44" s="367"/>
    </row>
    <row r="45" spans="2:8">
      <c r="B45" s="366">
        <f t="shared" si="1"/>
        <v>11</v>
      </c>
      <c r="C45" s="374" t="s">
        <v>728</v>
      </c>
      <c r="D45" s="374"/>
      <c r="E45" s="366">
        <v>6</v>
      </c>
      <c r="F45" s="368">
        <f>6*95000</f>
        <v>570000</v>
      </c>
      <c r="G45" s="368"/>
      <c r="H45" s="367"/>
    </row>
    <row r="46" spans="2:8">
      <c r="B46" s="366">
        <f t="shared" si="1"/>
        <v>12</v>
      </c>
      <c r="C46" s="374" t="s">
        <v>729</v>
      </c>
      <c r="D46" s="374"/>
      <c r="E46" s="366">
        <v>6</v>
      </c>
      <c r="F46" s="368">
        <f>6*65000</f>
        <v>390000</v>
      </c>
      <c r="G46" s="368"/>
      <c r="H46" s="367"/>
    </row>
    <row r="47" spans="2:8">
      <c r="B47" s="366">
        <f t="shared" si="1"/>
        <v>13</v>
      </c>
      <c r="C47" s="374" t="s">
        <v>730</v>
      </c>
      <c r="D47" s="374"/>
      <c r="E47" s="366">
        <v>4</v>
      </c>
      <c r="F47" s="368">
        <f>4*58000</f>
        <v>232000</v>
      </c>
      <c r="G47" s="368"/>
      <c r="H47" s="367"/>
    </row>
    <row r="48" spans="2:8">
      <c r="B48" s="366">
        <f t="shared" si="1"/>
        <v>14</v>
      </c>
      <c r="C48" s="374" t="s">
        <v>731</v>
      </c>
      <c r="D48" s="374"/>
      <c r="E48" s="366">
        <v>10</v>
      </c>
      <c r="F48" s="368">
        <f>10*38000</f>
        <v>380000</v>
      </c>
      <c r="G48" s="368"/>
      <c r="H48" s="367"/>
    </row>
    <row r="49" spans="2:8">
      <c r="B49" s="366">
        <f t="shared" si="1"/>
        <v>15</v>
      </c>
      <c r="C49" s="374" t="s">
        <v>732</v>
      </c>
      <c r="D49" s="374"/>
      <c r="E49" s="366">
        <v>10</v>
      </c>
      <c r="F49" s="368">
        <f>10*16500</f>
        <v>165000</v>
      </c>
      <c r="G49" s="368"/>
      <c r="H49" s="367"/>
    </row>
    <row r="50" spans="2:8">
      <c r="B50" s="366">
        <f t="shared" si="1"/>
        <v>16</v>
      </c>
      <c r="C50" s="374" t="s">
        <v>733</v>
      </c>
      <c r="D50" s="374"/>
      <c r="E50" s="366">
        <v>3</v>
      </c>
      <c r="F50" s="368">
        <f>3*31000</f>
        <v>93000</v>
      </c>
      <c r="G50" s="368"/>
      <c r="H50" s="367"/>
    </row>
    <row r="51" spans="2:8">
      <c r="B51" s="366">
        <f t="shared" si="1"/>
        <v>17</v>
      </c>
      <c r="C51" s="374" t="s">
        <v>734</v>
      </c>
      <c r="D51" s="374"/>
      <c r="E51" s="366">
        <v>1</v>
      </c>
      <c r="F51" s="368">
        <v>65000</v>
      </c>
      <c r="G51" s="368"/>
      <c r="H51" s="367"/>
    </row>
    <row r="52" spans="2:8">
      <c r="B52" s="366">
        <f t="shared" si="1"/>
        <v>18</v>
      </c>
      <c r="C52" s="374" t="s">
        <v>735</v>
      </c>
      <c r="D52" s="374"/>
      <c r="E52" s="366">
        <v>1</v>
      </c>
      <c r="F52" s="368">
        <v>125000</v>
      </c>
      <c r="G52" s="368"/>
      <c r="H52" s="367"/>
    </row>
    <row r="53" spans="2:8">
      <c r="B53" s="366">
        <f t="shared" si="1"/>
        <v>19</v>
      </c>
      <c r="C53" s="374" t="s">
        <v>736</v>
      </c>
      <c r="D53" s="374"/>
      <c r="E53" s="366">
        <v>18</v>
      </c>
      <c r="F53" s="368">
        <f>18*9000</f>
        <v>162000</v>
      </c>
      <c r="G53" s="368"/>
      <c r="H53" s="367"/>
    </row>
    <row r="54" spans="2:8">
      <c r="B54" s="366">
        <f t="shared" si="1"/>
        <v>20</v>
      </c>
      <c r="C54" s="374" t="s">
        <v>737</v>
      </c>
      <c r="D54" s="374"/>
      <c r="E54" s="366">
        <v>3</v>
      </c>
      <c r="F54" s="368">
        <f>3*41000</f>
        <v>123000</v>
      </c>
      <c r="G54" s="368"/>
      <c r="H54" s="367"/>
    </row>
    <row r="55" spans="2:8">
      <c r="B55" s="366">
        <f t="shared" si="1"/>
        <v>21</v>
      </c>
      <c r="C55" s="374" t="s">
        <v>738</v>
      </c>
      <c r="D55" s="374"/>
      <c r="E55" s="366">
        <v>1</v>
      </c>
      <c r="F55" s="368">
        <v>110000</v>
      </c>
      <c r="G55" s="368"/>
      <c r="H55" s="367"/>
    </row>
    <row r="56" spans="2:8">
      <c r="B56" s="366">
        <f t="shared" si="1"/>
        <v>22</v>
      </c>
      <c r="C56" s="374" t="s">
        <v>739</v>
      </c>
      <c r="D56" s="374"/>
      <c r="E56" s="366">
        <v>30</v>
      </c>
      <c r="F56" s="368">
        <f>30*6800</f>
        <v>204000</v>
      </c>
      <c r="G56" s="368"/>
      <c r="H56" s="367"/>
    </row>
    <row r="57" spans="2:8">
      <c r="B57" s="366">
        <f t="shared" si="1"/>
        <v>23</v>
      </c>
      <c r="C57" s="374" t="s">
        <v>740</v>
      </c>
      <c r="D57" s="374"/>
      <c r="E57" s="366">
        <v>400</v>
      </c>
      <c r="F57" s="368">
        <f>400*3500</f>
        <v>1400000</v>
      </c>
      <c r="G57" s="368"/>
      <c r="H57" s="367"/>
    </row>
    <row r="58" spans="2:8">
      <c r="B58" s="366">
        <f t="shared" si="1"/>
        <v>24</v>
      </c>
      <c r="C58" s="374" t="s">
        <v>741</v>
      </c>
      <c r="D58" s="374"/>
      <c r="E58" s="366">
        <v>2</v>
      </c>
      <c r="F58" s="368">
        <f>2*190000</f>
        <v>380000</v>
      </c>
      <c r="G58" s="368"/>
      <c r="H58" s="367"/>
    </row>
    <row r="59" spans="2:8" ht="66">
      <c r="B59" s="366">
        <f t="shared" si="1"/>
        <v>25</v>
      </c>
      <c r="C59" s="374" t="s">
        <v>742</v>
      </c>
      <c r="D59" s="374"/>
      <c r="E59" s="366">
        <v>1</v>
      </c>
      <c r="F59" s="368">
        <v>3800000</v>
      </c>
      <c r="G59" s="368"/>
      <c r="H59" s="367"/>
    </row>
    <row r="60" spans="2:8">
      <c r="B60" s="366">
        <f t="shared" si="1"/>
        <v>26</v>
      </c>
      <c r="C60" s="374" t="s">
        <v>743</v>
      </c>
      <c r="D60" s="374"/>
      <c r="E60" s="366"/>
      <c r="F60" s="368">
        <v>1500000</v>
      </c>
      <c r="G60" s="368"/>
      <c r="H60" s="367"/>
    </row>
    <row r="61" spans="2:8" ht="66">
      <c r="B61" s="366">
        <f t="shared" si="1"/>
        <v>27</v>
      </c>
      <c r="C61" s="374" t="s">
        <v>744</v>
      </c>
      <c r="D61" s="374"/>
      <c r="E61" s="366">
        <v>1</v>
      </c>
      <c r="F61" s="368">
        <v>3803625</v>
      </c>
      <c r="G61" s="368"/>
      <c r="H61" s="367"/>
    </row>
    <row r="62" spans="2:8">
      <c r="B62" s="366"/>
      <c r="C62" s="374"/>
      <c r="D62" s="374"/>
      <c r="E62" s="366"/>
      <c r="F62" s="368"/>
      <c r="G62" s="368"/>
      <c r="H62" s="367"/>
    </row>
    <row r="63" spans="2:8" ht="99">
      <c r="B63" s="366" t="s">
        <v>242</v>
      </c>
      <c r="C63" s="374" t="s">
        <v>715</v>
      </c>
      <c r="D63" s="366"/>
      <c r="E63" s="366">
        <v>1</v>
      </c>
      <c r="F63" s="368">
        <v>1030592.65</v>
      </c>
      <c r="G63" s="368">
        <v>1030593</v>
      </c>
      <c r="H63" s="367"/>
    </row>
    <row r="64" spans="2:8">
      <c r="B64" s="366" t="s">
        <v>279</v>
      </c>
      <c r="C64" s="374" t="s">
        <v>719</v>
      </c>
      <c r="D64" s="366" t="s">
        <v>720</v>
      </c>
      <c r="E64" s="366">
        <v>1</v>
      </c>
      <c r="F64" s="368">
        <v>1357000</v>
      </c>
      <c r="G64" s="368">
        <f>E64*F64</f>
        <v>1357000</v>
      </c>
      <c r="H64" s="367"/>
    </row>
    <row r="65" spans="2:8">
      <c r="B65" s="366"/>
      <c r="C65" s="374"/>
      <c r="D65" s="366"/>
      <c r="E65" s="366"/>
      <c r="F65" s="368"/>
      <c r="G65" s="368">
        <f>E65*F65</f>
        <v>0</v>
      </c>
      <c r="H65" s="367" t="s">
        <v>711</v>
      </c>
    </row>
    <row r="66" spans="2:8">
      <c r="B66" s="366"/>
      <c r="C66" s="374"/>
      <c r="D66" s="366"/>
      <c r="E66" s="366"/>
      <c r="F66" s="368"/>
      <c r="G66" s="368">
        <f>E66*F66</f>
        <v>0</v>
      </c>
      <c r="H66" s="367"/>
    </row>
    <row r="67" spans="2:8">
      <c r="B67" s="366"/>
      <c r="C67" s="374"/>
      <c r="D67" s="366"/>
      <c r="E67" s="366"/>
      <c r="F67" s="368"/>
      <c r="G67" s="368">
        <f t="shared" ref="G67:G73" si="2">F67</f>
        <v>0</v>
      </c>
      <c r="H67" s="367"/>
    </row>
    <row r="68" spans="2:8">
      <c r="B68" s="366"/>
      <c r="C68" s="374"/>
      <c r="D68" s="366"/>
      <c r="E68" s="366"/>
      <c r="F68" s="368"/>
      <c r="G68" s="368">
        <f t="shared" si="2"/>
        <v>0</v>
      </c>
      <c r="H68" s="367"/>
    </row>
    <row r="69" spans="2:8">
      <c r="B69" s="366"/>
      <c r="C69" s="374"/>
      <c r="D69" s="366"/>
      <c r="E69" s="366"/>
      <c r="F69" s="368"/>
      <c r="G69" s="368">
        <f t="shared" si="2"/>
        <v>0</v>
      </c>
      <c r="H69" s="367"/>
    </row>
    <row r="70" spans="2:8">
      <c r="B70" s="366"/>
      <c r="C70" s="374"/>
      <c r="D70" s="366"/>
      <c r="E70" s="366"/>
      <c r="F70" s="368"/>
      <c r="G70" s="368">
        <f t="shared" si="2"/>
        <v>0</v>
      </c>
      <c r="H70" s="367"/>
    </row>
    <row r="71" spans="2:8">
      <c r="B71" s="366"/>
      <c r="C71" s="374"/>
      <c r="D71" s="366"/>
      <c r="E71" s="366"/>
      <c r="F71" s="368"/>
      <c r="G71" s="368">
        <f t="shared" si="2"/>
        <v>0</v>
      </c>
      <c r="H71" s="367"/>
    </row>
    <row r="72" spans="2:8">
      <c r="B72" s="366"/>
      <c r="C72" s="374"/>
      <c r="D72" s="366"/>
      <c r="E72" s="366"/>
      <c r="F72" s="368"/>
      <c r="G72" s="368">
        <f t="shared" si="2"/>
        <v>0</v>
      </c>
      <c r="H72" s="367"/>
    </row>
    <row r="73" spans="2:8">
      <c r="B73" s="366"/>
      <c r="C73" s="374"/>
      <c r="D73" s="366"/>
      <c r="E73" s="366"/>
      <c r="F73" s="368"/>
      <c r="G73" s="368">
        <f t="shared" si="2"/>
        <v>0</v>
      </c>
      <c r="H73" s="367"/>
    </row>
    <row r="74" spans="2:8">
      <c r="B74" s="423" t="s">
        <v>173</v>
      </c>
      <c r="C74" s="423"/>
      <c r="D74" s="369"/>
      <c r="E74" s="369"/>
      <c r="F74" s="373"/>
      <c r="G74" s="373">
        <f>SUM(G34:G73)</f>
        <v>27477218</v>
      </c>
      <c r="H74" s="373">
        <f>SUM(H34:H73)</f>
        <v>335.5</v>
      </c>
    </row>
    <row r="75" spans="2:8">
      <c r="B75" s="366"/>
      <c r="C75" s="374"/>
      <c r="D75" s="366"/>
      <c r="E75" s="366"/>
      <c r="F75" s="368"/>
      <c r="G75" s="368"/>
      <c r="H75" s="367"/>
    </row>
    <row r="76" spans="2:8" ht="65">
      <c r="B76" s="369" t="s">
        <v>177</v>
      </c>
      <c r="C76" s="370" t="s">
        <v>373</v>
      </c>
      <c r="D76" s="366"/>
      <c r="E76" s="366"/>
      <c r="F76" s="368"/>
      <c r="G76" s="368">
        <f t="shared" ref="G76:G81" si="3">E76*F76</f>
        <v>0</v>
      </c>
      <c r="H76" s="367"/>
    </row>
    <row r="77" spans="2:8">
      <c r="B77" s="369"/>
      <c r="C77" s="370"/>
      <c r="D77" s="366"/>
      <c r="E77" s="366"/>
      <c r="F77" s="368"/>
      <c r="G77" s="368">
        <f t="shared" si="3"/>
        <v>0</v>
      </c>
      <c r="H77" s="367"/>
    </row>
    <row r="78" spans="2:8">
      <c r="B78" s="369"/>
      <c r="C78" s="370"/>
      <c r="D78" s="374"/>
      <c r="E78" s="366"/>
      <c r="F78" s="368"/>
      <c r="G78" s="368">
        <f t="shared" si="3"/>
        <v>0</v>
      </c>
      <c r="H78" s="367"/>
    </row>
    <row r="79" spans="2:8">
      <c r="B79" s="369"/>
      <c r="C79" s="370"/>
      <c r="D79" s="374"/>
      <c r="E79" s="366"/>
      <c r="F79" s="368"/>
      <c r="G79" s="368">
        <f t="shared" si="3"/>
        <v>0</v>
      </c>
      <c r="H79" s="367"/>
    </row>
    <row r="80" spans="2:8">
      <c r="B80" s="369"/>
      <c r="C80" s="370"/>
      <c r="D80" s="374"/>
      <c r="E80" s="366"/>
      <c r="F80" s="368"/>
      <c r="G80" s="368">
        <f t="shared" si="3"/>
        <v>0</v>
      </c>
      <c r="H80" s="367"/>
    </row>
    <row r="81" spans="1:11">
      <c r="B81" s="369"/>
      <c r="C81" s="370"/>
      <c r="D81" s="374"/>
      <c r="E81" s="366"/>
      <c r="F81" s="368"/>
      <c r="G81" s="368">
        <f t="shared" si="3"/>
        <v>0</v>
      </c>
      <c r="H81" s="367"/>
    </row>
    <row r="82" spans="1:11">
      <c r="B82" s="423" t="s">
        <v>173</v>
      </c>
      <c r="C82" s="423"/>
      <c r="D82" s="374"/>
      <c r="E82" s="366"/>
      <c r="F82" s="368"/>
      <c r="G82" s="368">
        <f>SUM(G76:G81)</f>
        <v>0</v>
      </c>
      <c r="H82" s="368">
        <f>SUM(H76:H81)</f>
        <v>0</v>
      </c>
    </row>
    <row r="83" spans="1:11">
      <c r="B83" s="369"/>
      <c r="C83" s="369"/>
      <c r="D83" s="374"/>
      <c r="E83" s="366"/>
      <c r="F83" s="368"/>
      <c r="G83" s="368"/>
      <c r="H83" s="368"/>
    </row>
    <row r="84" spans="1:11" ht="65">
      <c r="B84" s="369" t="s">
        <v>178</v>
      </c>
      <c r="C84" s="369" t="s">
        <v>554</v>
      </c>
      <c r="D84" s="374"/>
      <c r="E84" s="366"/>
      <c r="F84" s="368"/>
      <c r="G84" s="368">
        <f>E84*F84</f>
        <v>0</v>
      </c>
      <c r="H84" s="368"/>
    </row>
    <row r="85" spans="1:11">
      <c r="B85" s="369"/>
      <c r="C85" s="369"/>
      <c r="D85" s="374"/>
      <c r="E85" s="366"/>
      <c r="F85" s="368"/>
      <c r="G85" s="368">
        <f>E85*F85</f>
        <v>0</v>
      </c>
      <c r="H85" s="368"/>
    </row>
    <row r="86" spans="1:11">
      <c r="B86" s="369"/>
      <c r="C86" s="369"/>
      <c r="D86" s="374"/>
      <c r="E86" s="366"/>
      <c r="F86" s="368"/>
      <c r="G86" s="368">
        <f>E86*F86</f>
        <v>0</v>
      </c>
      <c r="H86" s="368"/>
    </row>
    <row r="87" spans="1:11">
      <c r="B87" s="369"/>
      <c r="C87" s="370"/>
      <c r="D87" s="374"/>
      <c r="E87" s="366"/>
      <c r="F87" s="368"/>
      <c r="G87" s="368">
        <f>E87*F87</f>
        <v>0</v>
      </c>
      <c r="H87" s="367"/>
    </row>
    <row r="88" spans="1:11">
      <c r="B88" s="423" t="s">
        <v>173</v>
      </c>
      <c r="C88" s="423"/>
      <c r="D88" s="374"/>
      <c r="E88" s="366"/>
      <c r="F88" s="368"/>
      <c r="G88" s="368">
        <f>SUM(G84:G87)</f>
        <v>0</v>
      </c>
      <c r="H88" s="368">
        <f>SUM(H84:H87)</f>
        <v>0</v>
      </c>
    </row>
    <row r="89" spans="1:11">
      <c r="B89" s="366"/>
      <c r="C89" s="374"/>
      <c r="D89" s="374"/>
      <c r="E89" s="366"/>
      <c r="F89" s="368"/>
      <c r="G89" s="368"/>
      <c r="H89" s="367"/>
    </row>
    <row r="90" spans="1:11">
      <c r="B90" s="422" t="s">
        <v>1</v>
      </c>
      <c r="C90" s="422"/>
      <c r="D90" s="422"/>
      <c r="E90" s="422"/>
      <c r="F90" s="422"/>
      <c r="G90" s="375">
        <f>G82+G74+G32+G88</f>
        <v>27477218</v>
      </c>
      <c r="H90" s="375">
        <f>H74+H21+H82+H88</f>
        <v>335.5</v>
      </c>
    </row>
    <row r="91" spans="1:11">
      <c r="B91" s="365"/>
      <c r="G91" s="376"/>
    </row>
    <row r="92" spans="1:11">
      <c r="B92" s="421" t="s">
        <v>424</v>
      </c>
      <c r="C92" s="421"/>
      <c r="D92" s="421"/>
      <c r="E92" s="421"/>
      <c r="F92" s="421"/>
      <c r="G92" s="421"/>
      <c r="H92" s="421"/>
    </row>
    <row r="93" spans="1:11">
      <c r="B93" s="365"/>
      <c r="G93" s="376"/>
      <c r="I93" s="365"/>
      <c r="J93" s="365"/>
      <c r="K93" s="377"/>
    </row>
    <row r="96" spans="1:11">
      <c r="A96" s="354">
        <v>2.2999999999999998</v>
      </c>
      <c r="B96" s="420" t="s">
        <v>384</v>
      </c>
      <c r="C96" s="420"/>
      <c r="D96" s="420"/>
      <c r="E96" s="420"/>
      <c r="F96" s="420"/>
    </row>
    <row r="98" spans="1:7" ht="100.5">
      <c r="B98" s="378" t="s">
        <v>146</v>
      </c>
      <c r="C98" s="379" t="s">
        <v>128</v>
      </c>
      <c r="D98" s="379" t="s">
        <v>153</v>
      </c>
      <c r="E98" s="379" t="s">
        <v>154</v>
      </c>
      <c r="F98" s="379" t="s">
        <v>160</v>
      </c>
    </row>
    <row r="99" spans="1:7">
      <c r="B99" s="380">
        <v>1</v>
      </c>
      <c r="C99" s="381"/>
      <c r="D99" s="380"/>
      <c r="E99" s="382"/>
      <c r="F99" s="383">
        <f t="shared" ref="F99:F104" si="4">D99*E99</f>
        <v>0</v>
      </c>
    </row>
    <row r="100" spans="1:7">
      <c r="B100" s="380"/>
      <c r="C100" s="381"/>
      <c r="D100" s="380"/>
      <c r="E100" s="382"/>
      <c r="F100" s="383">
        <f t="shared" si="4"/>
        <v>0</v>
      </c>
    </row>
    <row r="101" spans="1:7">
      <c r="B101" s="380"/>
      <c r="C101" s="381"/>
      <c r="D101" s="380"/>
      <c r="E101" s="382"/>
      <c r="F101" s="383">
        <f t="shared" si="4"/>
        <v>0</v>
      </c>
    </row>
    <row r="102" spans="1:7">
      <c r="B102" s="380"/>
      <c r="C102" s="381"/>
      <c r="D102" s="380"/>
      <c r="E102" s="382"/>
      <c r="F102" s="383">
        <f t="shared" si="4"/>
        <v>0</v>
      </c>
    </row>
    <row r="103" spans="1:7">
      <c r="B103" s="380"/>
      <c r="C103" s="381"/>
      <c r="D103" s="380"/>
      <c r="E103" s="382"/>
      <c r="F103" s="383">
        <f t="shared" si="4"/>
        <v>0</v>
      </c>
    </row>
    <row r="104" spans="1:7">
      <c r="B104" s="380"/>
      <c r="C104" s="381"/>
      <c r="D104" s="380"/>
      <c r="E104" s="382"/>
      <c r="F104" s="383">
        <f t="shared" si="4"/>
        <v>0</v>
      </c>
    </row>
    <row r="105" spans="1:7">
      <c r="B105" s="428" t="s">
        <v>1</v>
      </c>
      <c r="C105" s="428"/>
      <c r="D105" s="428"/>
      <c r="E105" s="428"/>
      <c r="F105" s="384">
        <f>SUM(F99:F104)</f>
        <v>0</v>
      </c>
    </row>
    <row r="107" spans="1:7">
      <c r="A107" s="421" t="s">
        <v>425</v>
      </c>
      <c r="B107" s="421"/>
      <c r="C107" s="421"/>
      <c r="D107" s="421"/>
      <c r="E107" s="421"/>
      <c r="F107" s="421"/>
      <c r="G107" s="421"/>
    </row>
    <row r="110" spans="1:7">
      <c r="A110" s="354">
        <v>2.4</v>
      </c>
      <c r="B110" s="420" t="s">
        <v>383</v>
      </c>
      <c r="C110" s="420"/>
      <c r="D110" s="420"/>
      <c r="E110" s="420"/>
      <c r="F110" s="420"/>
    </row>
    <row r="112" spans="1:7" ht="100.5">
      <c r="B112" s="378" t="s">
        <v>146</v>
      </c>
      <c r="C112" s="379" t="s">
        <v>128</v>
      </c>
      <c r="D112" s="379" t="s">
        <v>153</v>
      </c>
      <c r="E112" s="379" t="s">
        <v>154</v>
      </c>
      <c r="F112" s="379" t="s">
        <v>160</v>
      </c>
    </row>
    <row r="113" spans="1:7">
      <c r="B113" s="380">
        <v>1</v>
      </c>
      <c r="C113" s="381"/>
      <c r="D113" s="380"/>
      <c r="E113" s="382"/>
      <c r="F113" s="383">
        <f t="shared" ref="F113:F118" si="5">D113*E113</f>
        <v>0</v>
      </c>
    </row>
    <row r="114" spans="1:7">
      <c r="B114" s="380"/>
      <c r="C114" s="381"/>
      <c r="D114" s="380"/>
      <c r="E114" s="382"/>
      <c r="F114" s="383">
        <f t="shared" si="5"/>
        <v>0</v>
      </c>
    </row>
    <row r="115" spans="1:7">
      <c r="B115" s="380"/>
      <c r="C115" s="381"/>
      <c r="D115" s="380"/>
      <c r="E115" s="382"/>
      <c r="F115" s="383">
        <f t="shared" si="5"/>
        <v>0</v>
      </c>
    </row>
    <row r="116" spans="1:7">
      <c r="B116" s="380"/>
      <c r="C116" s="381"/>
      <c r="D116" s="380"/>
      <c r="E116" s="382"/>
      <c r="F116" s="383">
        <f t="shared" si="5"/>
        <v>0</v>
      </c>
    </row>
    <row r="117" spans="1:7">
      <c r="B117" s="380"/>
      <c r="C117" s="381"/>
      <c r="D117" s="380"/>
      <c r="E117" s="382"/>
      <c r="F117" s="383">
        <f t="shared" si="5"/>
        <v>0</v>
      </c>
    </row>
    <row r="118" spans="1:7">
      <c r="B118" s="380"/>
      <c r="C118" s="381"/>
      <c r="D118" s="380"/>
      <c r="E118" s="382"/>
      <c r="F118" s="383">
        <f t="shared" si="5"/>
        <v>0</v>
      </c>
    </row>
    <row r="119" spans="1:7">
      <c r="B119" s="428" t="s">
        <v>1</v>
      </c>
      <c r="C119" s="428"/>
      <c r="D119" s="428"/>
      <c r="E119" s="428"/>
      <c r="F119" s="384">
        <f>SUM(F113:F118)</f>
        <v>0</v>
      </c>
    </row>
    <row r="121" spans="1:7">
      <c r="A121" s="421" t="s">
        <v>425</v>
      </c>
      <c r="B121" s="421"/>
      <c r="C121" s="421"/>
      <c r="D121" s="421"/>
      <c r="E121" s="421"/>
      <c r="F121" s="421"/>
      <c r="G121" s="421"/>
    </row>
    <row r="124" spans="1:7">
      <c r="A124" s="354">
        <v>2.5</v>
      </c>
      <c r="B124" s="420" t="s">
        <v>661</v>
      </c>
      <c r="C124" s="420"/>
      <c r="D124" s="420"/>
      <c r="E124" s="420"/>
      <c r="F124" s="420"/>
    </row>
    <row r="126" spans="1:7" ht="97.5">
      <c r="B126" s="385" t="s">
        <v>146</v>
      </c>
      <c r="C126" s="355" t="s">
        <v>128</v>
      </c>
      <c r="D126" s="355" t="s">
        <v>153</v>
      </c>
      <c r="E126" s="355" t="s">
        <v>154</v>
      </c>
      <c r="F126" s="355" t="s">
        <v>160</v>
      </c>
    </row>
    <row r="127" spans="1:7">
      <c r="B127" s="366">
        <v>1</v>
      </c>
      <c r="C127" s="374"/>
      <c r="D127" s="366"/>
      <c r="E127" s="386"/>
      <c r="F127" s="368">
        <f>E127*D127</f>
        <v>0</v>
      </c>
    </row>
    <row r="128" spans="1:7">
      <c r="B128" s="366"/>
      <c r="C128" s="374"/>
      <c r="D128" s="366"/>
      <c r="E128" s="386"/>
      <c r="F128" s="368">
        <f>E128*D128</f>
        <v>0</v>
      </c>
    </row>
    <row r="129" spans="1:7">
      <c r="B129" s="366"/>
      <c r="C129" s="374"/>
      <c r="D129" s="366"/>
      <c r="E129" s="386"/>
      <c r="F129" s="368">
        <f>E129*D129</f>
        <v>0</v>
      </c>
    </row>
    <row r="130" spans="1:7">
      <c r="B130" s="422" t="s">
        <v>1</v>
      </c>
      <c r="C130" s="422"/>
      <c r="D130" s="422"/>
      <c r="E130" s="422"/>
      <c r="F130" s="387">
        <f>SUM(F127:F129)</f>
        <v>0</v>
      </c>
    </row>
    <row r="131" spans="1:7">
      <c r="A131" s="427" t="s">
        <v>461</v>
      </c>
      <c r="B131" s="427"/>
      <c r="C131" s="427"/>
      <c r="D131" s="427"/>
      <c r="E131" s="427"/>
      <c r="F131" s="427"/>
      <c r="G131" s="427"/>
    </row>
    <row r="134" spans="1:7">
      <c r="A134" s="354">
        <v>2.6</v>
      </c>
      <c r="B134" s="420" t="s">
        <v>258</v>
      </c>
      <c r="C134" s="420"/>
      <c r="D134" s="420"/>
    </row>
    <row r="135" spans="1:7" ht="34" thickBot="1"/>
    <row r="136" spans="1:7" ht="65.5" thickBot="1">
      <c r="B136" s="388" t="s">
        <v>146</v>
      </c>
      <c r="C136" s="389" t="s">
        <v>128</v>
      </c>
      <c r="D136" s="389" t="s">
        <v>382</v>
      </c>
    </row>
    <row r="137" spans="1:7" ht="66.5" thickBot="1">
      <c r="B137" s="390">
        <v>1</v>
      </c>
      <c r="C137" s="391" t="s">
        <v>716</v>
      </c>
      <c r="D137" s="392">
        <v>30000</v>
      </c>
    </row>
    <row r="138" spans="1:7" ht="34" thickBot="1">
      <c r="B138" s="390">
        <v>2</v>
      </c>
      <c r="C138" s="391"/>
      <c r="D138" s="392"/>
    </row>
    <row r="139" spans="1:7" ht="34" thickBot="1">
      <c r="B139" s="390">
        <v>3</v>
      </c>
      <c r="C139" s="391"/>
      <c r="D139" s="392"/>
    </row>
    <row r="140" spans="1:7" ht="34" thickBot="1">
      <c r="B140" s="390"/>
      <c r="C140" s="391"/>
      <c r="D140" s="392"/>
    </row>
    <row r="141" spans="1:7" ht="34" thickBot="1">
      <c r="B141" s="390"/>
      <c r="C141" s="391"/>
      <c r="D141" s="392"/>
    </row>
    <row r="142" spans="1:7" ht="34" thickBot="1">
      <c r="B142" s="424" t="s">
        <v>1</v>
      </c>
      <c r="C142" s="425"/>
      <c r="D142" s="393">
        <f>SUM(D137:D141)</f>
        <v>30000</v>
      </c>
    </row>
    <row r="144" spans="1:7" ht="26.15" customHeight="1">
      <c r="A144" s="426" t="s">
        <v>462</v>
      </c>
      <c r="B144" s="426"/>
      <c r="C144" s="426"/>
      <c r="D144" s="426"/>
      <c r="E144" s="426"/>
    </row>
  </sheetData>
  <mergeCells count="22">
    <mergeCell ref="B142:C142"/>
    <mergeCell ref="A144:E144"/>
    <mergeCell ref="B88:C88"/>
    <mergeCell ref="A121:G121"/>
    <mergeCell ref="B130:E130"/>
    <mergeCell ref="B124:F124"/>
    <mergeCell ref="A131:G131"/>
    <mergeCell ref="B134:D134"/>
    <mergeCell ref="B105:E105"/>
    <mergeCell ref="B96:F96"/>
    <mergeCell ref="A107:G107"/>
    <mergeCell ref="B119:E119"/>
    <mergeCell ref="B110:F110"/>
    <mergeCell ref="B12:F12"/>
    <mergeCell ref="B2:G2"/>
    <mergeCell ref="B15:G15"/>
    <mergeCell ref="B92:H92"/>
    <mergeCell ref="B90:F90"/>
    <mergeCell ref="B17:H17"/>
    <mergeCell ref="B32:C32"/>
    <mergeCell ref="B74:C74"/>
    <mergeCell ref="B82:C82"/>
  </mergeCells>
  <pageMargins left="0" right="0" top="0" bottom="0" header="0" footer="0"/>
  <pageSetup paperSize="9" scale="34" orientation="portrait" r:id="rId1"/>
  <rowBreaks count="1" manualBreakCount="1">
    <brk id="90"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4"/>
  <sheetViews>
    <sheetView tabSelected="1" view="pageBreakPreview" topLeftCell="A85" zoomScale="87" zoomScaleNormal="100" zoomScaleSheetLayoutView="87" workbookViewId="0">
      <selection activeCell="A36" sqref="A36"/>
    </sheetView>
  </sheetViews>
  <sheetFormatPr defaultRowHeight="14.5"/>
  <cols>
    <col min="1" max="1" width="33.453125" bestFit="1" customWidth="1"/>
    <col min="2" max="2" width="14.54296875" bestFit="1" customWidth="1"/>
    <col min="3" max="3" width="13.26953125" customWidth="1"/>
    <col min="4" max="4" width="13.453125" customWidth="1"/>
    <col min="5" max="5" width="14.81640625" customWidth="1"/>
    <col min="6" max="7" width="14.7265625" bestFit="1" customWidth="1"/>
    <col min="8" max="8" width="14.81640625" bestFit="1" customWidth="1"/>
    <col min="9" max="9" width="14.81640625" customWidth="1"/>
    <col min="10" max="10" width="14.7265625" bestFit="1" customWidth="1"/>
    <col min="11" max="11" width="14.81640625" customWidth="1"/>
    <col min="12" max="12" width="14.453125" customWidth="1"/>
    <col min="13" max="13" width="13.7265625" customWidth="1"/>
    <col min="14" max="17" width="10.54296875" bestFit="1" customWidth="1"/>
  </cols>
  <sheetData>
    <row r="2" spans="1:11" ht="17.5">
      <c r="A2" s="414" t="s">
        <v>575</v>
      </c>
      <c r="B2" s="414"/>
      <c r="C2" s="414"/>
      <c r="D2" s="414"/>
      <c r="E2" s="414"/>
      <c r="F2" s="414"/>
      <c r="G2" s="414"/>
      <c r="H2" s="414"/>
      <c r="I2" s="414"/>
      <c r="J2" s="414"/>
      <c r="K2" s="414"/>
    </row>
    <row r="4" spans="1:11">
      <c r="A4" s="87"/>
      <c r="B4" s="87"/>
      <c r="C4" s="87"/>
      <c r="D4" s="87"/>
      <c r="E4" s="172">
        <v>1</v>
      </c>
      <c r="F4" s="177">
        <f t="shared" ref="F4:K4" si="0">(E4*5%)+E4</f>
        <v>1.05</v>
      </c>
      <c r="G4" s="177">
        <f t="shared" si="0"/>
        <v>1.1025</v>
      </c>
      <c r="H4" s="177">
        <f t="shared" si="0"/>
        <v>1.1576250000000001</v>
      </c>
      <c r="I4" s="177">
        <f t="shared" si="0"/>
        <v>1.2155062500000002</v>
      </c>
      <c r="J4" s="177">
        <f t="shared" si="0"/>
        <v>1.2762815625000004</v>
      </c>
      <c r="K4" s="177">
        <f t="shared" si="0"/>
        <v>1.3400956406250004</v>
      </c>
    </row>
    <row r="5" spans="1:11">
      <c r="A5" s="87"/>
      <c r="B5" s="87"/>
      <c r="C5" s="87"/>
      <c r="D5" s="87"/>
      <c r="E5" s="87"/>
      <c r="F5" s="87"/>
      <c r="G5" s="87"/>
      <c r="H5" s="87"/>
      <c r="I5" s="87"/>
      <c r="J5" s="87"/>
      <c r="K5" s="87"/>
    </row>
    <row r="6" spans="1:11">
      <c r="A6" s="141" t="s">
        <v>0</v>
      </c>
      <c r="B6" s="141" t="s">
        <v>133</v>
      </c>
      <c r="C6" s="141" t="s">
        <v>400</v>
      </c>
      <c r="D6" s="141" t="s">
        <v>292</v>
      </c>
      <c r="E6" s="113" t="s">
        <v>2</v>
      </c>
      <c r="F6" s="113" t="s">
        <v>3</v>
      </c>
      <c r="G6" s="113" t="s">
        <v>4</v>
      </c>
      <c r="H6" s="113" t="s">
        <v>5</v>
      </c>
      <c r="I6" s="113" t="s">
        <v>6</v>
      </c>
      <c r="J6" s="113" t="s">
        <v>171</v>
      </c>
      <c r="K6" s="113" t="s">
        <v>170</v>
      </c>
    </row>
    <row r="7" spans="1:11">
      <c r="A7" s="88"/>
      <c r="B7" s="88"/>
      <c r="C7" s="88"/>
      <c r="D7" s="88"/>
      <c r="E7" s="88"/>
      <c r="F7" s="88"/>
      <c r="G7" s="88"/>
      <c r="H7" s="88"/>
      <c r="I7" s="88"/>
      <c r="J7" s="88"/>
      <c r="K7" s="88"/>
    </row>
    <row r="8" spans="1:11">
      <c r="A8" s="88" t="s">
        <v>335</v>
      </c>
      <c r="B8" s="88" t="s">
        <v>401</v>
      </c>
      <c r="C8" s="217">
        <v>1</v>
      </c>
      <c r="D8" s="229">
        <v>15000</v>
      </c>
      <c r="E8" s="89">
        <f>$C8*$D8*12*E$4</f>
        <v>180000</v>
      </c>
      <c r="F8" s="89">
        <f t="shared" ref="F8:K8" si="1">$C8*$D8*12*F$4</f>
        <v>189000</v>
      </c>
      <c r="G8" s="89">
        <f t="shared" si="1"/>
        <v>198450</v>
      </c>
      <c r="H8" s="89">
        <f t="shared" si="1"/>
        <v>208372.50000000003</v>
      </c>
      <c r="I8" s="89">
        <f t="shared" si="1"/>
        <v>218791.12500000003</v>
      </c>
      <c r="J8" s="89">
        <f t="shared" si="1"/>
        <v>229730.68125000005</v>
      </c>
      <c r="K8" s="89">
        <f t="shared" si="1"/>
        <v>241217.21531250008</v>
      </c>
    </row>
    <row r="9" spans="1:11">
      <c r="A9" s="88" t="s">
        <v>191</v>
      </c>
      <c r="B9" s="88" t="s">
        <v>401</v>
      </c>
      <c r="C9" s="217">
        <v>1</v>
      </c>
      <c r="D9" s="229">
        <v>10000</v>
      </c>
      <c r="E9" s="89">
        <f>$C9*$D9*12*E$4</f>
        <v>120000</v>
      </c>
      <c r="F9" s="89">
        <f t="shared" ref="F9:K10" si="2">$C9*$D9*12*F$4</f>
        <v>126000</v>
      </c>
      <c r="G9" s="89">
        <f t="shared" si="2"/>
        <v>132300</v>
      </c>
      <c r="H9" s="89">
        <f t="shared" si="2"/>
        <v>138915.00000000003</v>
      </c>
      <c r="I9" s="89">
        <f t="shared" si="2"/>
        <v>145860.75000000003</v>
      </c>
      <c r="J9" s="89">
        <f t="shared" si="2"/>
        <v>153153.78750000003</v>
      </c>
      <c r="K9" s="89">
        <f t="shared" si="2"/>
        <v>160811.47687500005</v>
      </c>
    </row>
    <row r="10" spans="1:11">
      <c r="A10" s="88" t="s">
        <v>196</v>
      </c>
      <c r="B10" s="88" t="s">
        <v>401</v>
      </c>
      <c r="C10" s="217">
        <v>2</v>
      </c>
      <c r="D10" s="229">
        <v>3000</v>
      </c>
      <c r="E10" s="89">
        <f>$C10*$D10*12*E$4</f>
        <v>72000</v>
      </c>
      <c r="F10" s="89">
        <f t="shared" si="2"/>
        <v>75600</v>
      </c>
      <c r="G10" s="89">
        <f t="shared" si="2"/>
        <v>79380</v>
      </c>
      <c r="H10" s="89">
        <f t="shared" si="2"/>
        <v>83349.000000000015</v>
      </c>
      <c r="I10" s="89">
        <f t="shared" si="2"/>
        <v>87516.450000000012</v>
      </c>
      <c r="J10" s="89">
        <f t="shared" si="2"/>
        <v>91892.272500000021</v>
      </c>
      <c r="K10" s="89">
        <f t="shared" si="2"/>
        <v>96486.886125000034</v>
      </c>
    </row>
    <row r="11" spans="1:11">
      <c r="A11" s="88" t="s">
        <v>131</v>
      </c>
      <c r="B11" s="88" t="s">
        <v>402</v>
      </c>
      <c r="C11" s="88">
        <v>12</v>
      </c>
      <c r="D11" s="229">
        <v>3014</v>
      </c>
      <c r="E11" s="89">
        <f>$C11*$D11*E$4</f>
        <v>36168</v>
      </c>
      <c r="F11" s="89">
        <f t="shared" ref="F11:K15" si="3">$C11*$D11*F$4</f>
        <v>37976.400000000001</v>
      </c>
      <c r="G11" s="89">
        <f t="shared" si="3"/>
        <v>39875.22</v>
      </c>
      <c r="H11" s="89">
        <f t="shared" si="3"/>
        <v>41868.981000000007</v>
      </c>
      <c r="I11" s="89">
        <f t="shared" si="3"/>
        <v>43962.43005000001</v>
      </c>
      <c r="J11" s="89">
        <f t="shared" si="3"/>
        <v>46160.551552500016</v>
      </c>
      <c r="K11" s="89">
        <f t="shared" si="3"/>
        <v>48468.579130125014</v>
      </c>
    </row>
    <row r="12" spans="1:11">
      <c r="A12" s="88" t="s">
        <v>10</v>
      </c>
      <c r="B12" s="88" t="s">
        <v>402</v>
      </c>
      <c r="C12" s="88">
        <v>12</v>
      </c>
      <c r="D12" s="229">
        <v>2031</v>
      </c>
      <c r="E12" s="89">
        <f>$C12*$D12*E$4</f>
        <v>24372</v>
      </c>
      <c r="F12" s="89">
        <f t="shared" si="3"/>
        <v>25590.600000000002</v>
      </c>
      <c r="G12" s="89">
        <f t="shared" si="3"/>
        <v>26870.13</v>
      </c>
      <c r="H12" s="89">
        <f t="shared" si="3"/>
        <v>28213.636500000004</v>
      </c>
      <c r="I12" s="89">
        <f t="shared" si="3"/>
        <v>29624.318325000007</v>
      </c>
      <c r="J12" s="89">
        <f t="shared" si="3"/>
        <v>31105.53424125001</v>
      </c>
      <c r="K12" s="89">
        <f t="shared" si="3"/>
        <v>32660.81095331251</v>
      </c>
    </row>
    <row r="13" spans="1:11">
      <c r="A13" s="88" t="s">
        <v>192</v>
      </c>
      <c r="B13" s="88" t="s">
        <v>402</v>
      </c>
      <c r="C13" s="88">
        <v>12</v>
      </c>
      <c r="D13" s="229">
        <v>1264</v>
      </c>
      <c r="E13" s="89">
        <f>$C13*$D13*E$4</f>
        <v>15168</v>
      </c>
      <c r="F13" s="89">
        <f t="shared" si="3"/>
        <v>15926.400000000001</v>
      </c>
      <c r="G13" s="89">
        <f t="shared" si="3"/>
        <v>16722.72</v>
      </c>
      <c r="H13" s="89">
        <f t="shared" si="3"/>
        <v>17558.856000000003</v>
      </c>
      <c r="I13" s="89">
        <f t="shared" si="3"/>
        <v>18436.798800000004</v>
      </c>
      <c r="J13" s="89">
        <f t="shared" si="3"/>
        <v>19358.638740000006</v>
      </c>
      <c r="K13" s="89">
        <f t="shared" si="3"/>
        <v>20326.570677000007</v>
      </c>
    </row>
    <row r="14" spans="1:11">
      <c r="A14" s="88" t="s">
        <v>162</v>
      </c>
      <c r="B14" s="88" t="s">
        <v>402</v>
      </c>
      <c r="C14" s="88">
        <v>12</v>
      </c>
      <c r="D14" s="229">
        <v>100</v>
      </c>
      <c r="E14" s="89">
        <f>$C14*$D14*E$4</f>
        <v>1200</v>
      </c>
      <c r="F14" s="89">
        <f t="shared" si="3"/>
        <v>1260</v>
      </c>
      <c r="G14" s="89">
        <f t="shared" si="3"/>
        <v>1323</v>
      </c>
      <c r="H14" s="89">
        <f t="shared" si="3"/>
        <v>1389.15</v>
      </c>
      <c r="I14" s="89">
        <f t="shared" si="3"/>
        <v>1458.6075000000003</v>
      </c>
      <c r="J14" s="89">
        <f t="shared" si="3"/>
        <v>1531.5378750000004</v>
      </c>
      <c r="K14" s="89">
        <f t="shared" si="3"/>
        <v>1608.1147687500004</v>
      </c>
    </row>
    <row r="15" spans="1:11">
      <c r="A15" s="88" t="s">
        <v>193</v>
      </c>
      <c r="B15" s="88" t="s">
        <v>402</v>
      </c>
      <c r="C15" s="88">
        <v>12</v>
      </c>
      <c r="D15" s="229">
        <v>1262</v>
      </c>
      <c r="E15" s="89">
        <f>$C15*$D15*E$4</f>
        <v>15144</v>
      </c>
      <c r="F15" s="89">
        <f t="shared" si="3"/>
        <v>15901.2</v>
      </c>
      <c r="G15" s="89">
        <f t="shared" si="3"/>
        <v>16696.260000000002</v>
      </c>
      <c r="H15" s="89">
        <f t="shared" si="3"/>
        <v>17531.073</v>
      </c>
      <c r="I15" s="89">
        <f t="shared" si="3"/>
        <v>18407.626650000002</v>
      </c>
      <c r="J15" s="89">
        <f t="shared" si="3"/>
        <v>19328.007982500007</v>
      </c>
      <c r="K15" s="89">
        <f t="shared" si="3"/>
        <v>20294.408381625006</v>
      </c>
    </row>
    <row r="16" spans="1:11">
      <c r="A16" s="88" t="s">
        <v>194</v>
      </c>
      <c r="B16" s="88" t="s">
        <v>403</v>
      </c>
      <c r="C16" s="88">
        <v>1</v>
      </c>
      <c r="D16" s="229">
        <v>20000</v>
      </c>
      <c r="E16" s="89">
        <f>$D16*E$4*$C16</f>
        <v>20000</v>
      </c>
      <c r="F16" s="89">
        <f t="shared" ref="F16:K22" si="4">$D16*F$4*$C16</f>
        <v>21000</v>
      </c>
      <c r="G16" s="89">
        <f t="shared" si="4"/>
        <v>22050</v>
      </c>
      <c r="H16" s="89">
        <f t="shared" si="4"/>
        <v>23152.500000000004</v>
      </c>
      <c r="I16" s="89">
        <f t="shared" si="4"/>
        <v>24310.125000000004</v>
      </c>
      <c r="J16" s="89">
        <f t="shared" si="4"/>
        <v>25525.631250000006</v>
      </c>
      <c r="K16" s="89">
        <f t="shared" si="4"/>
        <v>26801.91281250001</v>
      </c>
    </row>
    <row r="17" spans="1:18">
      <c r="A17" s="88"/>
      <c r="B17" s="88"/>
      <c r="C17" s="88"/>
      <c r="D17" s="229"/>
      <c r="E17" s="89">
        <f t="shared" ref="E17:E22" si="5">$D17*E$4*$C17</f>
        <v>0</v>
      </c>
      <c r="F17" s="89">
        <f t="shared" si="4"/>
        <v>0</v>
      </c>
      <c r="G17" s="89">
        <f t="shared" si="4"/>
        <v>0</v>
      </c>
      <c r="H17" s="89">
        <f t="shared" si="4"/>
        <v>0</v>
      </c>
      <c r="I17" s="89">
        <f t="shared" si="4"/>
        <v>0</v>
      </c>
      <c r="J17" s="89">
        <f t="shared" si="4"/>
        <v>0</v>
      </c>
      <c r="K17" s="89">
        <f t="shared" si="4"/>
        <v>0</v>
      </c>
    </row>
    <row r="18" spans="1:18">
      <c r="A18" s="88"/>
      <c r="B18" s="88"/>
      <c r="C18" s="88"/>
      <c r="D18" s="229"/>
      <c r="E18" s="89">
        <f t="shared" si="5"/>
        <v>0</v>
      </c>
      <c r="F18" s="89">
        <f t="shared" si="4"/>
        <v>0</v>
      </c>
      <c r="G18" s="89">
        <f t="shared" si="4"/>
        <v>0</v>
      </c>
      <c r="H18" s="89">
        <f t="shared" si="4"/>
        <v>0</v>
      </c>
      <c r="I18" s="89">
        <f t="shared" si="4"/>
        <v>0</v>
      </c>
      <c r="J18" s="89">
        <f t="shared" si="4"/>
        <v>0</v>
      </c>
      <c r="K18" s="89">
        <f t="shared" si="4"/>
        <v>0</v>
      </c>
    </row>
    <row r="19" spans="1:18">
      <c r="A19" s="88"/>
      <c r="B19" s="88"/>
      <c r="C19" s="88"/>
      <c r="D19" s="229"/>
      <c r="E19" s="89">
        <f t="shared" si="5"/>
        <v>0</v>
      </c>
      <c r="F19" s="89">
        <f t="shared" si="4"/>
        <v>0</v>
      </c>
      <c r="G19" s="89">
        <f t="shared" si="4"/>
        <v>0</v>
      </c>
      <c r="H19" s="89">
        <f t="shared" si="4"/>
        <v>0</v>
      </c>
      <c r="I19" s="89">
        <f t="shared" si="4"/>
        <v>0</v>
      </c>
      <c r="J19" s="89">
        <f t="shared" si="4"/>
        <v>0</v>
      </c>
      <c r="K19" s="89">
        <f t="shared" si="4"/>
        <v>0</v>
      </c>
    </row>
    <row r="20" spans="1:18">
      <c r="A20" s="88"/>
      <c r="B20" s="88"/>
      <c r="C20" s="88"/>
      <c r="D20" s="229"/>
      <c r="E20" s="89">
        <f t="shared" si="5"/>
        <v>0</v>
      </c>
      <c r="F20" s="89">
        <f t="shared" si="4"/>
        <v>0</v>
      </c>
      <c r="G20" s="89">
        <f t="shared" si="4"/>
        <v>0</v>
      </c>
      <c r="H20" s="89">
        <f t="shared" si="4"/>
        <v>0</v>
      </c>
      <c r="I20" s="89">
        <f t="shared" si="4"/>
        <v>0</v>
      </c>
      <c r="J20" s="89">
        <f t="shared" si="4"/>
        <v>0</v>
      </c>
      <c r="K20" s="89">
        <f t="shared" si="4"/>
        <v>0</v>
      </c>
    </row>
    <row r="21" spans="1:18">
      <c r="A21" s="88"/>
      <c r="B21" s="88"/>
      <c r="C21" s="88"/>
      <c r="D21" s="229"/>
      <c r="E21" s="89">
        <f t="shared" si="5"/>
        <v>0</v>
      </c>
      <c r="F21" s="89">
        <f t="shared" si="4"/>
        <v>0</v>
      </c>
      <c r="G21" s="89">
        <f t="shared" si="4"/>
        <v>0</v>
      </c>
      <c r="H21" s="89">
        <f t="shared" si="4"/>
        <v>0</v>
      </c>
      <c r="I21" s="89">
        <f t="shared" si="4"/>
        <v>0</v>
      </c>
      <c r="J21" s="89">
        <f t="shared" si="4"/>
        <v>0</v>
      </c>
      <c r="K21" s="89">
        <f t="shared" si="4"/>
        <v>0</v>
      </c>
    </row>
    <row r="22" spans="1:18">
      <c r="A22" s="88"/>
      <c r="B22" s="88"/>
      <c r="C22" s="88"/>
      <c r="D22" s="89"/>
      <c r="E22" s="89">
        <f t="shared" si="5"/>
        <v>0</v>
      </c>
      <c r="F22" s="89">
        <f t="shared" si="4"/>
        <v>0</v>
      </c>
      <c r="G22" s="89">
        <f t="shared" si="4"/>
        <v>0</v>
      </c>
      <c r="H22" s="89">
        <f t="shared" si="4"/>
        <v>0</v>
      </c>
      <c r="I22" s="89">
        <f t="shared" si="4"/>
        <v>0</v>
      </c>
      <c r="J22" s="89">
        <f t="shared" si="4"/>
        <v>0</v>
      </c>
      <c r="K22" s="89">
        <f t="shared" si="4"/>
        <v>0</v>
      </c>
    </row>
    <row r="23" spans="1:18">
      <c r="A23" s="90" t="s">
        <v>132</v>
      </c>
      <c r="B23" s="90"/>
      <c r="C23" s="90"/>
      <c r="D23" s="108"/>
      <c r="E23" s="108">
        <f>SUM(E8:E22)</f>
        <v>484052</v>
      </c>
      <c r="F23" s="108">
        <f t="shared" ref="F23:K23" si="6">SUM(F8:F22)</f>
        <v>508254.60000000003</v>
      </c>
      <c r="G23" s="108">
        <f t="shared" si="6"/>
        <v>533667.32999999996</v>
      </c>
      <c r="H23" s="108">
        <f t="shared" si="6"/>
        <v>560350.69650000019</v>
      </c>
      <c r="I23" s="108">
        <f t="shared" si="6"/>
        <v>588368.23132500018</v>
      </c>
      <c r="J23" s="108">
        <f t="shared" si="6"/>
        <v>617786.64289125009</v>
      </c>
      <c r="K23" s="108">
        <f t="shared" si="6"/>
        <v>648675.97503581271</v>
      </c>
    </row>
    <row r="28" spans="1:18">
      <c r="A28" s="431"/>
      <c r="B28" s="431"/>
      <c r="C28" s="431"/>
      <c r="D28" s="431"/>
      <c r="E28" s="431"/>
      <c r="F28" s="431"/>
      <c r="G28" s="431"/>
      <c r="H28" s="431"/>
      <c r="I28" s="431"/>
      <c r="J28" s="431"/>
      <c r="K28" s="431"/>
      <c r="L28" s="431"/>
      <c r="M28" s="431"/>
      <c r="N28" s="431"/>
      <c r="O28" s="431"/>
    </row>
    <row r="29" spans="1:18" ht="17.5">
      <c r="A29" s="429" t="s">
        <v>576</v>
      </c>
      <c r="B29" s="429"/>
      <c r="C29" s="429"/>
      <c r="D29" s="429"/>
      <c r="E29" s="429"/>
      <c r="F29" s="429"/>
      <c r="G29" s="429"/>
      <c r="H29" s="429"/>
      <c r="I29" s="429"/>
      <c r="J29" s="429"/>
      <c r="K29" s="429"/>
      <c r="L29" s="429"/>
      <c r="M29" s="429"/>
      <c r="N29" s="429"/>
      <c r="O29" s="429"/>
      <c r="P29" s="429"/>
      <c r="Q29" s="429"/>
    </row>
    <row r="30" spans="1:18" s="13" customFormat="1">
      <c r="A30" s="142"/>
      <c r="B30" s="142"/>
      <c r="C30" s="142"/>
      <c r="D30" s="142"/>
      <c r="E30" s="142"/>
      <c r="F30" s="142"/>
      <c r="G30" s="142"/>
      <c r="H30" s="142"/>
      <c r="I30" s="142"/>
      <c r="J30" s="142"/>
      <c r="K30" s="142"/>
      <c r="L30" s="142"/>
      <c r="M30" s="142"/>
      <c r="N30" s="142"/>
      <c r="O30" s="142"/>
    </row>
    <row r="31" spans="1:18" ht="16.5" customHeight="1">
      <c r="A31" s="87"/>
      <c r="B31" s="87"/>
      <c r="C31" s="432" t="s">
        <v>197</v>
      </c>
      <c r="D31" s="432"/>
      <c r="E31" s="432"/>
      <c r="F31" s="432"/>
      <c r="G31" s="432"/>
      <c r="H31" s="432"/>
      <c r="I31" s="432"/>
      <c r="J31" s="87"/>
      <c r="K31" s="433" t="s">
        <v>198</v>
      </c>
      <c r="L31" s="433"/>
      <c r="M31" s="433"/>
      <c r="N31" s="433"/>
      <c r="O31" s="433"/>
      <c r="P31" s="433"/>
      <c r="Q31" s="433"/>
    </row>
    <row r="32" spans="1:18">
      <c r="A32" s="162" t="s">
        <v>0</v>
      </c>
      <c r="B32" s="155"/>
      <c r="C32" s="53" t="s">
        <v>2</v>
      </c>
      <c r="D32" s="53" t="s">
        <v>3</v>
      </c>
      <c r="E32" s="53" t="s">
        <v>4</v>
      </c>
      <c r="F32" s="53" t="s">
        <v>5</v>
      </c>
      <c r="G32" s="53" t="s">
        <v>6</v>
      </c>
      <c r="H32" s="53" t="s">
        <v>171</v>
      </c>
      <c r="I32" s="53" t="s">
        <v>170</v>
      </c>
      <c r="J32" s="163"/>
      <c r="L32" s="53" t="s">
        <v>2</v>
      </c>
      <c r="M32" s="53" t="s">
        <v>3</v>
      </c>
      <c r="N32" s="53" t="s">
        <v>4</v>
      </c>
      <c r="O32" s="53" t="s">
        <v>5</v>
      </c>
      <c r="P32" s="53" t="s">
        <v>6</v>
      </c>
      <c r="Q32" s="53" t="s">
        <v>171</v>
      </c>
      <c r="R32" s="53" t="s">
        <v>170</v>
      </c>
    </row>
    <row r="33" spans="1:18">
      <c r="A33" s="156" t="s">
        <v>199</v>
      </c>
      <c r="B33" s="92"/>
      <c r="C33" s="92"/>
      <c r="D33" s="92"/>
      <c r="E33" s="92"/>
      <c r="F33" s="92"/>
      <c r="G33" s="157"/>
      <c r="H33" s="157"/>
      <c r="I33" s="157"/>
      <c r="J33" s="92"/>
      <c r="L33" s="92"/>
      <c r="M33" s="92"/>
      <c r="N33" s="92"/>
      <c r="O33" s="92"/>
      <c r="P33" s="157"/>
      <c r="Q33" s="157"/>
      <c r="R33" s="157"/>
    </row>
    <row r="34" spans="1:18">
      <c r="A34" s="156"/>
      <c r="B34" s="92"/>
      <c r="C34" s="92"/>
      <c r="D34" s="92"/>
      <c r="E34" s="92"/>
      <c r="F34" s="92"/>
      <c r="G34" s="157"/>
      <c r="H34" s="157"/>
      <c r="I34" s="157"/>
      <c r="J34" s="92"/>
      <c r="L34" s="92"/>
      <c r="M34" s="92"/>
      <c r="N34" s="92"/>
      <c r="O34" s="92"/>
      <c r="P34" s="157"/>
      <c r="Q34" s="157"/>
      <c r="R34" s="157"/>
    </row>
    <row r="35" spans="1:18">
      <c r="A35" s="158"/>
      <c r="B35" s="158"/>
      <c r="C35" s="92"/>
      <c r="D35" s="92"/>
      <c r="E35" s="92"/>
      <c r="F35" s="92"/>
      <c r="G35" s="92"/>
      <c r="H35" s="92"/>
      <c r="I35" s="92"/>
      <c r="J35" s="92"/>
      <c r="L35" s="92"/>
      <c r="M35" s="92"/>
      <c r="N35" s="92"/>
      <c r="O35" s="92"/>
      <c r="P35" s="92"/>
      <c r="Q35" s="92"/>
      <c r="R35" s="92"/>
    </row>
    <row r="36" spans="1:18">
      <c r="A36" s="159" t="s">
        <v>203</v>
      </c>
      <c r="B36" s="159"/>
      <c r="C36" s="92"/>
      <c r="D36" s="92"/>
      <c r="E36" s="92"/>
      <c r="F36" s="92"/>
      <c r="G36" s="92"/>
      <c r="H36" s="92"/>
      <c r="I36" s="92"/>
      <c r="J36" s="92"/>
      <c r="L36" s="92"/>
      <c r="M36" s="92"/>
      <c r="N36" s="92"/>
      <c r="O36" s="92"/>
      <c r="P36" s="92"/>
      <c r="Q36" s="92"/>
      <c r="R36" s="92"/>
    </row>
    <row r="37" spans="1:18">
      <c r="A37" s="158" t="s">
        <v>200</v>
      </c>
      <c r="B37" s="158"/>
      <c r="C37" s="160">
        <f>'1.Project Cost and MOF'!D5</f>
        <v>10014584.52</v>
      </c>
      <c r="D37" s="160">
        <f t="shared" ref="D37:I37" si="7">C40</f>
        <v>9697122.1907160003</v>
      </c>
      <c r="E37" s="160">
        <f t="shared" si="7"/>
        <v>9379659.861432001</v>
      </c>
      <c r="F37" s="160">
        <f t="shared" si="7"/>
        <v>9062197.5321480017</v>
      </c>
      <c r="G37" s="160">
        <f t="shared" si="7"/>
        <v>8744735.2028640024</v>
      </c>
      <c r="H37" s="160">
        <f t="shared" si="7"/>
        <v>8427272.8735800032</v>
      </c>
      <c r="I37" s="160">
        <f t="shared" si="7"/>
        <v>8109810.5442960029</v>
      </c>
      <c r="J37" s="92"/>
      <c r="L37" s="160">
        <f>C37</f>
        <v>10014584.52</v>
      </c>
      <c r="M37" s="160">
        <f t="shared" ref="M37:R37" si="8">L40</f>
        <v>9013126.068</v>
      </c>
      <c r="N37" s="160">
        <f t="shared" si="8"/>
        <v>8111813.4611999998</v>
      </c>
      <c r="O37" s="160">
        <f t="shared" si="8"/>
        <v>7300632.1150799999</v>
      </c>
      <c r="P37" s="160">
        <f t="shared" si="8"/>
        <v>6570568.9035719996</v>
      </c>
      <c r="Q37" s="160">
        <f t="shared" si="8"/>
        <v>5913512.0132147996</v>
      </c>
      <c r="R37" s="160">
        <f t="shared" si="8"/>
        <v>5322160.8118933197</v>
      </c>
    </row>
    <row r="38" spans="1:18">
      <c r="A38" s="158" t="s">
        <v>17</v>
      </c>
      <c r="B38" s="158"/>
      <c r="C38" s="160">
        <f t="shared" ref="C38:I38" si="9">$C$37*$B$74</f>
        <v>317462.32928399998</v>
      </c>
      <c r="D38" s="160">
        <f t="shared" si="9"/>
        <v>317462.32928399998</v>
      </c>
      <c r="E38" s="160">
        <f t="shared" si="9"/>
        <v>317462.32928399998</v>
      </c>
      <c r="F38" s="160">
        <f t="shared" si="9"/>
        <v>317462.32928399998</v>
      </c>
      <c r="G38" s="160">
        <f t="shared" si="9"/>
        <v>317462.32928399998</v>
      </c>
      <c r="H38" s="160">
        <f t="shared" si="9"/>
        <v>317462.32928399998</v>
      </c>
      <c r="I38" s="160">
        <f t="shared" si="9"/>
        <v>317462.32928399998</v>
      </c>
      <c r="J38" s="92"/>
      <c r="L38" s="160">
        <f t="shared" ref="L38:R38" si="10">L37*$C$74</f>
        <v>1001458.452</v>
      </c>
      <c r="M38" s="160">
        <f t="shared" si="10"/>
        <v>901312.60680000007</v>
      </c>
      <c r="N38" s="160">
        <f t="shared" si="10"/>
        <v>811181.34612</v>
      </c>
      <c r="O38" s="160">
        <f t="shared" si="10"/>
        <v>730063.21150800004</v>
      </c>
      <c r="P38" s="160">
        <f t="shared" si="10"/>
        <v>657056.89035720006</v>
      </c>
      <c r="Q38" s="160">
        <f t="shared" si="10"/>
        <v>591351.20132147998</v>
      </c>
      <c r="R38" s="160">
        <f t="shared" si="10"/>
        <v>532216.08118933195</v>
      </c>
    </row>
    <row r="39" spans="1:18">
      <c r="A39" s="158" t="s">
        <v>201</v>
      </c>
      <c r="B39" s="158"/>
      <c r="C39" s="160">
        <f>C38</f>
        <v>317462.32928399998</v>
      </c>
      <c r="D39" s="160">
        <f t="shared" ref="D39:I39" si="11">C39+D38</f>
        <v>634924.65856799996</v>
      </c>
      <c r="E39" s="160">
        <f t="shared" si="11"/>
        <v>952386.98785199993</v>
      </c>
      <c r="F39" s="160">
        <f t="shared" si="11"/>
        <v>1269849.3171359999</v>
      </c>
      <c r="G39" s="160">
        <f t="shared" si="11"/>
        <v>1587311.6464199999</v>
      </c>
      <c r="H39" s="160">
        <f t="shared" si="11"/>
        <v>1904773.9757039999</v>
      </c>
      <c r="I39" s="160">
        <f t="shared" si="11"/>
        <v>2222236.3049879996</v>
      </c>
      <c r="J39" s="92"/>
      <c r="L39" s="160">
        <f>L38</f>
        <v>1001458.452</v>
      </c>
      <c r="M39" s="160">
        <f t="shared" ref="M39:R39" si="12">L39+M38</f>
        <v>1902771.0588000002</v>
      </c>
      <c r="N39" s="160">
        <f t="shared" si="12"/>
        <v>2713952.4049200001</v>
      </c>
      <c r="O39" s="160">
        <f t="shared" si="12"/>
        <v>3444015.6164279999</v>
      </c>
      <c r="P39" s="160">
        <f t="shared" si="12"/>
        <v>4101072.5067852</v>
      </c>
      <c r="Q39" s="160">
        <f t="shared" si="12"/>
        <v>4692423.7081066798</v>
      </c>
      <c r="R39" s="160">
        <f t="shared" si="12"/>
        <v>5224639.7892960114</v>
      </c>
    </row>
    <row r="40" spans="1:18">
      <c r="A40" s="158" t="s">
        <v>202</v>
      </c>
      <c r="B40" s="158"/>
      <c r="C40" s="160">
        <f t="shared" ref="C40:I40" si="13">C37-C38</f>
        <v>9697122.1907160003</v>
      </c>
      <c r="D40" s="160">
        <f t="shared" si="13"/>
        <v>9379659.861432001</v>
      </c>
      <c r="E40" s="160">
        <f t="shared" si="13"/>
        <v>9062197.5321480017</v>
      </c>
      <c r="F40" s="160">
        <f t="shared" si="13"/>
        <v>8744735.2028640024</v>
      </c>
      <c r="G40" s="160">
        <f t="shared" si="13"/>
        <v>8427272.8735800032</v>
      </c>
      <c r="H40" s="160">
        <f t="shared" si="13"/>
        <v>8109810.5442960029</v>
      </c>
      <c r="I40" s="160">
        <f t="shared" si="13"/>
        <v>7792348.2150120027</v>
      </c>
      <c r="J40" s="92"/>
      <c r="L40" s="160">
        <f t="shared" ref="L40:R40" si="14">L37-L38</f>
        <v>9013126.068</v>
      </c>
      <c r="M40" s="160">
        <f t="shared" si="14"/>
        <v>8111813.4611999998</v>
      </c>
      <c r="N40" s="160">
        <f t="shared" si="14"/>
        <v>7300632.1150799999</v>
      </c>
      <c r="O40" s="160">
        <f t="shared" si="14"/>
        <v>6570568.9035719996</v>
      </c>
      <c r="P40" s="160">
        <f t="shared" si="14"/>
        <v>5913512.0132147996</v>
      </c>
      <c r="Q40" s="160">
        <f t="shared" si="14"/>
        <v>5322160.8118933197</v>
      </c>
      <c r="R40" s="160">
        <f t="shared" si="14"/>
        <v>4789944.7307039881</v>
      </c>
    </row>
    <row r="41" spans="1:18">
      <c r="A41" s="158"/>
      <c r="B41" s="158"/>
      <c r="C41" s="160"/>
      <c r="D41" s="160"/>
      <c r="E41" s="160"/>
      <c r="F41" s="160"/>
      <c r="G41" s="160"/>
      <c r="H41" s="160"/>
      <c r="I41" s="160"/>
      <c r="J41" s="92"/>
      <c r="L41" s="160"/>
      <c r="M41" s="160"/>
      <c r="N41" s="160"/>
      <c r="O41" s="160"/>
      <c r="P41" s="160"/>
      <c r="Q41" s="160"/>
      <c r="R41" s="160"/>
    </row>
    <row r="42" spans="1:18">
      <c r="A42" s="159" t="s">
        <v>204</v>
      </c>
      <c r="B42" s="159"/>
      <c r="C42" s="160"/>
      <c r="D42" s="160"/>
      <c r="E42" s="160"/>
      <c r="F42" s="160"/>
      <c r="G42" s="160"/>
      <c r="H42" s="160"/>
      <c r="I42" s="160"/>
      <c r="J42" s="92"/>
      <c r="L42" s="160"/>
      <c r="M42" s="160"/>
      <c r="N42" s="160"/>
      <c r="O42" s="160"/>
      <c r="P42" s="160"/>
      <c r="Q42" s="160"/>
      <c r="R42" s="160"/>
    </row>
    <row r="43" spans="1:18">
      <c r="A43" s="158" t="s">
        <v>200</v>
      </c>
      <c r="B43" s="158"/>
      <c r="C43" s="160">
        <f>'1.Project Cost and MOF'!D6</f>
        <v>27477218</v>
      </c>
      <c r="D43" s="160">
        <f t="shared" ref="D43:I43" si="15">C46</f>
        <v>25737910.1006</v>
      </c>
      <c r="E43" s="160">
        <f t="shared" si="15"/>
        <v>23998602.201200001</v>
      </c>
      <c r="F43" s="160">
        <f t="shared" si="15"/>
        <v>22259294.301800001</v>
      </c>
      <c r="G43" s="160">
        <f t="shared" si="15"/>
        <v>20519986.402400002</v>
      </c>
      <c r="H43" s="160">
        <f t="shared" si="15"/>
        <v>18780678.503000002</v>
      </c>
      <c r="I43" s="160">
        <f t="shared" si="15"/>
        <v>17041370.603600003</v>
      </c>
      <c r="J43" s="92"/>
      <c r="L43" s="160">
        <f>C43</f>
        <v>27477218</v>
      </c>
      <c r="M43" s="160">
        <f t="shared" ref="M43:R43" si="16">L46</f>
        <v>23355635.300000001</v>
      </c>
      <c r="N43" s="160">
        <f t="shared" si="16"/>
        <v>19852290.005000003</v>
      </c>
      <c r="O43" s="160">
        <f t="shared" si="16"/>
        <v>16874446.504250001</v>
      </c>
      <c r="P43" s="160">
        <f t="shared" si="16"/>
        <v>14343279.528612502</v>
      </c>
      <c r="Q43" s="160">
        <f t="shared" si="16"/>
        <v>12191787.599320628</v>
      </c>
      <c r="R43" s="160">
        <f t="shared" si="16"/>
        <v>10363019.459422534</v>
      </c>
    </row>
    <row r="44" spans="1:18">
      <c r="A44" s="158" t="s">
        <v>17</v>
      </c>
      <c r="B44" s="158"/>
      <c r="C44" s="160">
        <f t="shared" ref="C44:I44" si="17">$C$43*$B$78</f>
        <v>1739307.8993999998</v>
      </c>
      <c r="D44" s="160">
        <f t="shared" si="17"/>
        <v>1739307.8993999998</v>
      </c>
      <c r="E44" s="160">
        <f t="shared" si="17"/>
        <v>1739307.8993999998</v>
      </c>
      <c r="F44" s="160">
        <f t="shared" si="17"/>
        <v>1739307.8993999998</v>
      </c>
      <c r="G44" s="160">
        <f t="shared" si="17"/>
        <v>1739307.8993999998</v>
      </c>
      <c r="H44" s="160">
        <f t="shared" si="17"/>
        <v>1739307.8993999998</v>
      </c>
      <c r="I44" s="160">
        <f t="shared" si="17"/>
        <v>1739307.8993999998</v>
      </c>
      <c r="J44" s="92"/>
      <c r="L44" s="160">
        <f t="shared" ref="L44:R44" si="18">L43*$C$78</f>
        <v>4121582.6999999997</v>
      </c>
      <c r="M44" s="160">
        <f t="shared" si="18"/>
        <v>3503345.2949999999</v>
      </c>
      <c r="N44" s="160">
        <f t="shared" si="18"/>
        <v>2977843.5007500001</v>
      </c>
      <c r="O44" s="160">
        <f t="shared" si="18"/>
        <v>2531166.9756375002</v>
      </c>
      <c r="P44" s="160">
        <f t="shared" si="18"/>
        <v>2151491.9292918751</v>
      </c>
      <c r="Q44" s="160">
        <f t="shared" si="18"/>
        <v>1828768.1398980941</v>
      </c>
      <c r="R44" s="160">
        <f t="shared" si="18"/>
        <v>1554452.91891338</v>
      </c>
    </row>
    <row r="45" spans="1:18">
      <c r="A45" s="158" t="s">
        <v>201</v>
      </c>
      <c r="B45" s="158"/>
      <c r="C45" s="160">
        <f>C44</f>
        <v>1739307.8993999998</v>
      </c>
      <c r="D45" s="160">
        <f t="shared" ref="D45:I45" si="19">C45+D44</f>
        <v>3478615.7987999995</v>
      </c>
      <c r="E45" s="160">
        <f t="shared" si="19"/>
        <v>5217923.6981999995</v>
      </c>
      <c r="F45" s="160">
        <f t="shared" si="19"/>
        <v>6957231.597599999</v>
      </c>
      <c r="G45" s="160">
        <f t="shared" si="19"/>
        <v>8696539.4969999995</v>
      </c>
      <c r="H45" s="160">
        <f t="shared" si="19"/>
        <v>10435847.396399999</v>
      </c>
      <c r="I45" s="160">
        <f t="shared" si="19"/>
        <v>12175155.295799999</v>
      </c>
      <c r="J45" s="92"/>
      <c r="L45" s="160">
        <f>L44</f>
        <v>4121582.6999999997</v>
      </c>
      <c r="M45" s="160">
        <f t="shared" ref="M45:R45" si="20">L45+M44</f>
        <v>7624927.9949999992</v>
      </c>
      <c r="N45" s="160">
        <f t="shared" si="20"/>
        <v>10602771.495749999</v>
      </c>
      <c r="O45" s="160">
        <f t="shared" si="20"/>
        <v>13133938.471387498</v>
      </c>
      <c r="P45" s="160">
        <f t="shared" si="20"/>
        <v>15285430.400679372</v>
      </c>
      <c r="Q45" s="160">
        <f t="shared" si="20"/>
        <v>17114198.540577468</v>
      </c>
      <c r="R45" s="160">
        <f t="shared" si="20"/>
        <v>18668651.459490847</v>
      </c>
    </row>
    <row r="46" spans="1:18">
      <c r="A46" s="158" t="s">
        <v>202</v>
      </c>
      <c r="B46" s="158"/>
      <c r="C46" s="160">
        <f t="shared" ref="C46:I46" si="21">C43-C44</f>
        <v>25737910.1006</v>
      </c>
      <c r="D46" s="160">
        <f t="shared" si="21"/>
        <v>23998602.201200001</v>
      </c>
      <c r="E46" s="160">
        <f t="shared" si="21"/>
        <v>22259294.301800001</v>
      </c>
      <c r="F46" s="160">
        <f t="shared" si="21"/>
        <v>20519986.402400002</v>
      </c>
      <c r="G46" s="160">
        <f t="shared" si="21"/>
        <v>18780678.503000002</v>
      </c>
      <c r="H46" s="160">
        <f t="shared" si="21"/>
        <v>17041370.603600003</v>
      </c>
      <c r="I46" s="160">
        <f t="shared" si="21"/>
        <v>15302062.704200003</v>
      </c>
      <c r="J46" s="92"/>
      <c r="L46" s="160">
        <f t="shared" ref="L46:R46" si="22">L43-L44</f>
        <v>23355635.300000001</v>
      </c>
      <c r="M46" s="160">
        <f t="shared" si="22"/>
        <v>19852290.005000003</v>
      </c>
      <c r="N46" s="160">
        <f t="shared" si="22"/>
        <v>16874446.504250001</v>
      </c>
      <c r="O46" s="160">
        <f t="shared" si="22"/>
        <v>14343279.528612502</v>
      </c>
      <c r="P46" s="160">
        <f t="shared" si="22"/>
        <v>12191787.599320628</v>
      </c>
      <c r="Q46" s="160">
        <f t="shared" si="22"/>
        <v>10363019.459422534</v>
      </c>
      <c r="R46" s="160">
        <f t="shared" si="22"/>
        <v>8808566.540509155</v>
      </c>
    </row>
    <row r="47" spans="1:18">
      <c r="A47" s="158"/>
      <c r="B47" s="158"/>
      <c r="C47" s="160"/>
      <c r="D47" s="160"/>
      <c r="E47" s="160"/>
      <c r="F47" s="160"/>
      <c r="G47" s="160"/>
      <c r="H47" s="160"/>
      <c r="I47" s="160"/>
      <c r="J47" s="92"/>
      <c r="L47" s="160"/>
      <c r="M47" s="160"/>
      <c r="N47" s="160"/>
      <c r="O47" s="160"/>
      <c r="P47" s="160"/>
      <c r="Q47" s="160"/>
      <c r="R47" s="160"/>
    </row>
    <row r="48" spans="1:18">
      <c r="A48" s="159" t="s">
        <v>205</v>
      </c>
      <c r="B48" s="159"/>
      <c r="C48" s="160"/>
      <c r="D48" s="160"/>
      <c r="E48" s="160"/>
      <c r="F48" s="160"/>
      <c r="G48" s="160"/>
      <c r="H48" s="160"/>
      <c r="I48" s="160"/>
      <c r="J48" s="92"/>
      <c r="L48" s="160"/>
      <c r="M48" s="160"/>
      <c r="N48" s="160"/>
      <c r="O48" s="160"/>
      <c r="P48" s="160"/>
      <c r="Q48" s="160"/>
      <c r="R48" s="160"/>
    </row>
    <row r="49" spans="1:18">
      <c r="A49" s="158" t="s">
        <v>200</v>
      </c>
      <c r="B49" s="158"/>
      <c r="C49" s="160">
        <f>'1.Project Cost and MOF'!D7</f>
        <v>0</v>
      </c>
      <c r="D49" s="160">
        <f t="shared" ref="D49:I49" si="23">C52</f>
        <v>0</v>
      </c>
      <c r="E49" s="160">
        <f t="shared" si="23"/>
        <v>0</v>
      </c>
      <c r="F49" s="160">
        <f t="shared" si="23"/>
        <v>0</v>
      </c>
      <c r="G49" s="160">
        <f t="shared" si="23"/>
        <v>0</v>
      </c>
      <c r="H49" s="160">
        <f t="shared" si="23"/>
        <v>0</v>
      </c>
      <c r="I49" s="160">
        <f t="shared" si="23"/>
        <v>0</v>
      </c>
      <c r="J49" s="92"/>
      <c r="L49" s="160">
        <f>C49</f>
        <v>0</v>
      </c>
      <c r="M49" s="160">
        <f t="shared" ref="M49:R49" si="24">L52</f>
        <v>0</v>
      </c>
      <c r="N49" s="160">
        <f t="shared" si="24"/>
        <v>0</v>
      </c>
      <c r="O49" s="160">
        <f t="shared" si="24"/>
        <v>0</v>
      </c>
      <c r="P49" s="160">
        <f t="shared" si="24"/>
        <v>0</v>
      </c>
      <c r="Q49" s="160">
        <f t="shared" si="24"/>
        <v>0</v>
      </c>
      <c r="R49" s="160">
        <f t="shared" si="24"/>
        <v>0</v>
      </c>
    </row>
    <row r="50" spans="1:18">
      <c r="A50" s="158" t="s">
        <v>17</v>
      </c>
      <c r="B50" s="158"/>
      <c r="C50" s="160">
        <f t="shared" ref="C50:I50" si="25">$C$49*$B$75</f>
        <v>0</v>
      </c>
      <c r="D50" s="160">
        <f t="shared" si="25"/>
        <v>0</v>
      </c>
      <c r="E50" s="160">
        <f t="shared" si="25"/>
        <v>0</v>
      </c>
      <c r="F50" s="160">
        <f t="shared" si="25"/>
        <v>0</v>
      </c>
      <c r="G50" s="160">
        <f t="shared" si="25"/>
        <v>0</v>
      </c>
      <c r="H50" s="160">
        <f t="shared" si="25"/>
        <v>0</v>
      </c>
      <c r="I50" s="160">
        <f t="shared" si="25"/>
        <v>0</v>
      </c>
      <c r="J50" s="92"/>
      <c r="L50" s="160">
        <f t="shared" ref="L50:R50" si="26">L49*$C$75</f>
        <v>0</v>
      </c>
      <c r="M50" s="160">
        <f t="shared" si="26"/>
        <v>0</v>
      </c>
      <c r="N50" s="160">
        <f t="shared" si="26"/>
        <v>0</v>
      </c>
      <c r="O50" s="160">
        <f t="shared" si="26"/>
        <v>0</v>
      </c>
      <c r="P50" s="160">
        <f t="shared" si="26"/>
        <v>0</v>
      </c>
      <c r="Q50" s="160">
        <f t="shared" si="26"/>
        <v>0</v>
      </c>
      <c r="R50" s="160">
        <f t="shared" si="26"/>
        <v>0</v>
      </c>
    </row>
    <row r="51" spans="1:18">
      <c r="A51" s="158" t="s">
        <v>201</v>
      </c>
      <c r="B51" s="158"/>
      <c r="C51" s="160">
        <f>C50</f>
        <v>0</v>
      </c>
      <c r="D51" s="160">
        <f t="shared" ref="D51:I51" si="27">C51+D50</f>
        <v>0</v>
      </c>
      <c r="E51" s="160">
        <f t="shared" si="27"/>
        <v>0</v>
      </c>
      <c r="F51" s="160">
        <f t="shared" si="27"/>
        <v>0</v>
      </c>
      <c r="G51" s="160">
        <f t="shared" si="27"/>
        <v>0</v>
      </c>
      <c r="H51" s="160">
        <f t="shared" si="27"/>
        <v>0</v>
      </c>
      <c r="I51" s="160">
        <f t="shared" si="27"/>
        <v>0</v>
      </c>
      <c r="J51" s="92"/>
      <c r="L51" s="160">
        <f>L50</f>
        <v>0</v>
      </c>
      <c r="M51" s="160">
        <f t="shared" ref="M51:R51" si="28">L51+M50</f>
        <v>0</v>
      </c>
      <c r="N51" s="160">
        <f t="shared" si="28"/>
        <v>0</v>
      </c>
      <c r="O51" s="160">
        <f t="shared" si="28"/>
        <v>0</v>
      </c>
      <c r="P51" s="160">
        <f t="shared" si="28"/>
        <v>0</v>
      </c>
      <c r="Q51" s="160">
        <f t="shared" si="28"/>
        <v>0</v>
      </c>
      <c r="R51" s="160">
        <f t="shared" si="28"/>
        <v>0</v>
      </c>
    </row>
    <row r="52" spans="1:18">
      <c r="A52" s="158" t="s">
        <v>202</v>
      </c>
      <c r="B52" s="158"/>
      <c r="C52" s="160">
        <f t="shared" ref="C52:I52" si="29">C49-C50</f>
        <v>0</v>
      </c>
      <c r="D52" s="160">
        <f t="shared" si="29"/>
        <v>0</v>
      </c>
      <c r="E52" s="160">
        <f t="shared" si="29"/>
        <v>0</v>
      </c>
      <c r="F52" s="160">
        <f t="shared" si="29"/>
        <v>0</v>
      </c>
      <c r="G52" s="160">
        <f t="shared" si="29"/>
        <v>0</v>
      </c>
      <c r="H52" s="160">
        <f t="shared" si="29"/>
        <v>0</v>
      </c>
      <c r="I52" s="160">
        <f t="shared" si="29"/>
        <v>0</v>
      </c>
      <c r="J52" s="92"/>
      <c r="L52" s="160">
        <f t="shared" ref="L52:R52" si="30">L49-L50</f>
        <v>0</v>
      </c>
      <c r="M52" s="160">
        <f t="shared" si="30"/>
        <v>0</v>
      </c>
      <c r="N52" s="160">
        <f t="shared" si="30"/>
        <v>0</v>
      </c>
      <c r="O52" s="160">
        <f t="shared" si="30"/>
        <v>0</v>
      </c>
      <c r="P52" s="160">
        <f t="shared" si="30"/>
        <v>0</v>
      </c>
      <c r="Q52" s="160">
        <f t="shared" si="30"/>
        <v>0</v>
      </c>
      <c r="R52" s="160">
        <f t="shared" si="30"/>
        <v>0</v>
      </c>
    </row>
    <row r="53" spans="1:18">
      <c r="A53" s="158"/>
      <c r="B53" s="158"/>
      <c r="C53" s="160"/>
      <c r="D53" s="160"/>
      <c r="E53" s="160"/>
      <c r="F53" s="160"/>
      <c r="G53" s="160"/>
      <c r="H53" s="160"/>
      <c r="I53" s="160"/>
      <c r="J53" s="92"/>
      <c r="L53" s="160"/>
      <c r="M53" s="160"/>
      <c r="N53" s="160"/>
      <c r="O53" s="160"/>
      <c r="P53" s="160"/>
      <c r="Q53" s="160"/>
      <c r="R53" s="160"/>
    </row>
    <row r="54" spans="1:18">
      <c r="A54" s="159" t="s">
        <v>161</v>
      </c>
      <c r="B54" s="159"/>
      <c r="C54" s="160"/>
      <c r="D54" s="160"/>
      <c r="E54" s="160"/>
      <c r="F54" s="160"/>
      <c r="G54" s="160"/>
      <c r="H54" s="160"/>
      <c r="I54" s="160"/>
      <c r="J54" s="92"/>
      <c r="L54" s="160"/>
      <c r="M54" s="160"/>
      <c r="N54" s="160"/>
      <c r="O54" s="160"/>
      <c r="P54" s="160"/>
      <c r="Q54" s="160"/>
      <c r="R54" s="160"/>
    </row>
    <row r="55" spans="1:18">
      <c r="A55" s="158" t="s">
        <v>200</v>
      </c>
      <c r="B55" s="158"/>
      <c r="C55" s="160">
        <f>'1.Project Cost and MOF'!D9</f>
        <v>0</v>
      </c>
      <c r="D55" s="160">
        <f t="shared" ref="D55:I55" si="31">C58</f>
        <v>0</v>
      </c>
      <c r="E55" s="160">
        <f t="shared" si="31"/>
        <v>0</v>
      </c>
      <c r="F55" s="160">
        <f t="shared" si="31"/>
        <v>0</v>
      </c>
      <c r="G55" s="160">
        <f t="shared" si="31"/>
        <v>0</v>
      </c>
      <c r="H55" s="160">
        <f t="shared" si="31"/>
        <v>0</v>
      </c>
      <c r="I55" s="160">
        <f t="shared" si="31"/>
        <v>0</v>
      </c>
      <c r="J55" s="92"/>
      <c r="L55" s="160">
        <f>C55</f>
        <v>0</v>
      </c>
      <c r="M55" s="160">
        <f t="shared" ref="M55:R55" si="32">L58</f>
        <v>0</v>
      </c>
      <c r="N55" s="160">
        <f t="shared" si="32"/>
        <v>0</v>
      </c>
      <c r="O55" s="160">
        <f t="shared" si="32"/>
        <v>0</v>
      </c>
      <c r="P55" s="160">
        <f t="shared" si="32"/>
        <v>0</v>
      </c>
      <c r="Q55" s="160">
        <f t="shared" si="32"/>
        <v>0</v>
      </c>
      <c r="R55" s="160">
        <f t="shared" si="32"/>
        <v>0</v>
      </c>
    </row>
    <row r="56" spans="1:18">
      <c r="A56" s="158" t="s">
        <v>17</v>
      </c>
      <c r="B56" s="158"/>
      <c r="C56" s="160">
        <f t="shared" ref="C56:I56" si="33">$C$55*$B$77</f>
        <v>0</v>
      </c>
      <c r="D56" s="160">
        <f t="shared" si="33"/>
        <v>0</v>
      </c>
      <c r="E56" s="160">
        <f t="shared" si="33"/>
        <v>0</v>
      </c>
      <c r="F56" s="160">
        <f t="shared" si="33"/>
        <v>0</v>
      </c>
      <c r="G56" s="160">
        <f t="shared" si="33"/>
        <v>0</v>
      </c>
      <c r="H56" s="160">
        <f t="shared" si="33"/>
        <v>0</v>
      </c>
      <c r="I56" s="160">
        <f t="shared" si="33"/>
        <v>0</v>
      </c>
      <c r="J56" s="92"/>
      <c r="L56" s="160">
        <f t="shared" ref="L56:R56" si="34">L55*$C$77</f>
        <v>0</v>
      </c>
      <c r="M56" s="160">
        <f t="shared" si="34"/>
        <v>0</v>
      </c>
      <c r="N56" s="160">
        <f t="shared" si="34"/>
        <v>0</v>
      </c>
      <c r="O56" s="160">
        <f t="shared" si="34"/>
        <v>0</v>
      </c>
      <c r="P56" s="160">
        <f t="shared" si="34"/>
        <v>0</v>
      </c>
      <c r="Q56" s="160">
        <f t="shared" si="34"/>
        <v>0</v>
      </c>
      <c r="R56" s="160">
        <f t="shared" si="34"/>
        <v>0</v>
      </c>
    </row>
    <row r="57" spans="1:18">
      <c r="A57" s="158" t="s">
        <v>201</v>
      </c>
      <c r="B57" s="158"/>
      <c r="C57" s="160">
        <f>C56</f>
        <v>0</v>
      </c>
      <c r="D57" s="160">
        <f t="shared" ref="D57:I57" si="35">C57+D56</f>
        <v>0</v>
      </c>
      <c r="E57" s="160">
        <f t="shared" si="35"/>
        <v>0</v>
      </c>
      <c r="F57" s="160">
        <f t="shared" si="35"/>
        <v>0</v>
      </c>
      <c r="G57" s="160">
        <f t="shared" si="35"/>
        <v>0</v>
      </c>
      <c r="H57" s="160">
        <f t="shared" si="35"/>
        <v>0</v>
      </c>
      <c r="I57" s="160">
        <f t="shared" si="35"/>
        <v>0</v>
      </c>
      <c r="J57" s="92"/>
      <c r="L57" s="160">
        <f>L56</f>
        <v>0</v>
      </c>
      <c r="M57" s="160">
        <f t="shared" ref="M57:R57" si="36">L57+M56</f>
        <v>0</v>
      </c>
      <c r="N57" s="160">
        <f t="shared" si="36"/>
        <v>0</v>
      </c>
      <c r="O57" s="160">
        <f t="shared" si="36"/>
        <v>0</v>
      </c>
      <c r="P57" s="160">
        <f t="shared" si="36"/>
        <v>0</v>
      </c>
      <c r="Q57" s="160">
        <f t="shared" si="36"/>
        <v>0</v>
      </c>
      <c r="R57" s="160">
        <f t="shared" si="36"/>
        <v>0</v>
      </c>
    </row>
    <row r="58" spans="1:18">
      <c r="A58" s="158" t="s">
        <v>202</v>
      </c>
      <c r="B58" s="158"/>
      <c r="C58" s="160">
        <f t="shared" ref="C58:I58" si="37">C55-C56</f>
        <v>0</v>
      </c>
      <c r="D58" s="160">
        <f t="shared" si="37"/>
        <v>0</v>
      </c>
      <c r="E58" s="160">
        <f t="shared" si="37"/>
        <v>0</v>
      </c>
      <c r="F58" s="160">
        <f t="shared" si="37"/>
        <v>0</v>
      </c>
      <c r="G58" s="160">
        <f t="shared" si="37"/>
        <v>0</v>
      </c>
      <c r="H58" s="160">
        <f t="shared" si="37"/>
        <v>0</v>
      </c>
      <c r="I58" s="160">
        <f t="shared" si="37"/>
        <v>0</v>
      </c>
      <c r="J58" s="92"/>
      <c r="L58" s="160">
        <f t="shared" ref="L58:R58" si="38">L55-L56</f>
        <v>0</v>
      </c>
      <c r="M58" s="160">
        <f t="shared" si="38"/>
        <v>0</v>
      </c>
      <c r="N58" s="160">
        <f t="shared" si="38"/>
        <v>0</v>
      </c>
      <c r="O58" s="160">
        <f t="shared" si="38"/>
        <v>0</v>
      </c>
      <c r="P58" s="160">
        <f t="shared" si="38"/>
        <v>0</v>
      </c>
      <c r="Q58" s="160">
        <f t="shared" si="38"/>
        <v>0</v>
      </c>
      <c r="R58" s="160">
        <f t="shared" si="38"/>
        <v>0</v>
      </c>
    </row>
    <row r="59" spans="1:18">
      <c r="A59" s="158"/>
      <c r="B59" s="158"/>
      <c r="C59" s="160"/>
      <c r="D59" s="160"/>
      <c r="E59" s="160"/>
      <c r="F59" s="160"/>
      <c r="G59" s="160"/>
      <c r="H59" s="160"/>
      <c r="I59" s="160"/>
      <c r="J59" s="92"/>
      <c r="L59" s="160"/>
      <c r="M59" s="160"/>
      <c r="N59" s="160"/>
      <c r="O59" s="160"/>
      <c r="P59" s="160"/>
      <c r="Q59" s="160"/>
      <c r="R59" s="160"/>
    </row>
    <row r="60" spans="1:18">
      <c r="A60" s="304" t="s">
        <v>337</v>
      </c>
      <c r="B60" s="158"/>
      <c r="C60" s="160"/>
      <c r="D60" s="160"/>
      <c r="E60" s="160"/>
      <c r="F60" s="160"/>
      <c r="G60" s="160"/>
      <c r="H60" s="160"/>
      <c r="I60" s="160"/>
      <c r="J60" s="92"/>
      <c r="L60" s="160"/>
      <c r="M60" s="160"/>
      <c r="N60" s="160"/>
      <c r="O60" s="160"/>
      <c r="P60" s="160"/>
      <c r="Q60" s="160"/>
      <c r="R60" s="160"/>
    </row>
    <row r="61" spans="1:18">
      <c r="A61" s="158" t="str">
        <f>A55</f>
        <v>Asset Value</v>
      </c>
      <c r="B61" s="158"/>
      <c r="C61" s="160">
        <f>'1.Project Cost and MOF'!D8</f>
        <v>0</v>
      </c>
      <c r="D61" s="160">
        <f t="shared" ref="D61:I61" si="39">C64</f>
        <v>0</v>
      </c>
      <c r="E61" s="160">
        <f t="shared" si="39"/>
        <v>0</v>
      </c>
      <c r="F61" s="160">
        <f t="shared" si="39"/>
        <v>0</v>
      </c>
      <c r="G61" s="160">
        <f t="shared" si="39"/>
        <v>0</v>
      </c>
      <c r="H61" s="160">
        <f t="shared" si="39"/>
        <v>0</v>
      </c>
      <c r="I61" s="160">
        <f t="shared" si="39"/>
        <v>0</v>
      </c>
      <c r="J61" s="92"/>
      <c r="L61" s="160">
        <f>C61</f>
        <v>0</v>
      </c>
      <c r="M61" s="160">
        <f t="shared" ref="M61:R61" si="40">L64</f>
        <v>0</v>
      </c>
      <c r="N61" s="160">
        <f t="shared" si="40"/>
        <v>0</v>
      </c>
      <c r="O61" s="160">
        <f t="shared" si="40"/>
        <v>0</v>
      </c>
      <c r="P61" s="160">
        <f t="shared" si="40"/>
        <v>0</v>
      </c>
      <c r="Q61" s="160">
        <f t="shared" si="40"/>
        <v>0</v>
      </c>
      <c r="R61" s="160">
        <f t="shared" si="40"/>
        <v>0</v>
      </c>
    </row>
    <row r="62" spans="1:18">
      <c r="A62" s="158" t="str">
        <f>A56</f>
        <v>Depreciation</v>
      </c>
      <c r="B62" s="158"/>
      <c r="C62" s="160">
        <f t="shared" ref="C62:I62" si="41">$C$61*$B$76</f>
        <v>0</v>
      </c>
      <c r="D62" s="160">
        <f t="shared" si="41"/>
        <v>0</v>
      </c>
      <c r="E62" s="160">
        <f t="shared" si="41"/>
        <v>0</v>
      </c>
      <c r="F62" s="160">
        <f t="shared" si="41"/>
        <v>0</v>
      </c>
      <c r="G62" s="160">
        <f t="shared" si="41"/>
        <v>0</v>
      </c>
      <c r="H62" s="160">
        <f t="shared" si="41"/>
        <v>0</v>
      </c>
      <c r="I62" s="160">
        <f t="shared" si="41"/>
        <v>0</v>
      </c>
      <c r="J62" s="92"/>
      <c r="L62" s="160">
        <f t="shared" ref="L62:R62" si="42">L61*$C$76</f>
        <v>0</v>
      </c>
      <c r="M62" s="160">
        <f t="shared" si="42"/>
        <v>0</v>
      </c>
      <c r="N62" s="160">
        <f t="shared" si="42"/>
        <v>0</v>
      </c>
      <c r="O62" s="160">
        <f t="shared" si="42"/>
        <v>0</v>
      </c>
      <c r="P62" s="160">
        <f t="shared" si="42"/>
        <v>0</v>
      </c>
      <c r="Q62" s="160">
        <f t="shared" si="42"/>
        <v>0</v>
      </c>
      <c r="R62" s="160">
        <f t="shared" si="42"/>
        <v>0</v>
      </c>
    </row>
    <row r="63" spans="1:18">
      <c r="A63" s="158" t="str">
        <f>A57</f>
        <v>Accumulated Depreciation</v>
      </c>
      <c r="B63" s="158"/>
      <c r="C63" s="160">
        <f>C62</f>
        <v>0</v>
      </c>
      <c r="D63" s="160">
        <f t="shared" ref="D63:I63" si="43">D62+C63</f>
        <v>0</v>
      </c>
      <c r="E63" s="160">
        <f t="shared" si="43"/>
        <v>0</v>
      </c>
      <c r="F63" s="160">
        <f t="shared" si="43"/>
        <v>0</v>
      </c>
      <c r="G63" s="160">
        <f t="shared" si="43"/>
        <v>0</v>
      </c>
      <c r="H63" s="160">
        <f t="shared" si="43"/>
        <v>0</v>
      </c>
      <c r="I63" s="160">
        <f t="shared" si="43"/>
        <v>0</v>
      </c>
      <c r="J63" s="92"/>
      <c r="L63" s="160">
        <f>L62</f>
        <v>0</v>
      </c>
      <c r="M63" s="160">
        <f t="shared" ref="M63:R63" si="44">M62+L63</f>
        <v>0</v>
      </c>
      <c r="N63" s="160">
        <f t="shared" si="44"/>
        <v>0</v>
      </c>
      <c r="O63" s="160">
        <f t="shared" si="44"/>
        <v>0</v>
      </c>
      <c r="P63" s="160">
        <f t="shared" si="44"/>
        <v>0</v>
      </c>
      <c r="Q63" s="160">
        <f t="shared" si="44"/>
        <v>0</v>
      </c>
      <c r="R63" s="160">
        <f t="shared" si="44"/>
        <v>0</v>
      </c>
    </row>
    <row r="64" spans="1:18">
      <c r="A64" s="158" t="str">
        <f>A58</f>
        <v>Net Fixed Assets</v>
      </c>
      <c r="B64" s="158"/>
      <c r="C64" s="160">
        <f t="shared" ref="C64:I64" si="45">C61-C62</f>
        <v>0</v>
      </c>
      <c r="D64" s="160">
        <f t="shared" si="45"/>
        <v>0</v>
      </c>
      <c r="E64" s="160">
        <f t="shared" si="45"/>
        <v>0</v>
      </c>
      <c r="F64" s="160">
        <f t="shared" si="45"/>
        <v>0</v>
      </c>
      <c r="G64" s="160">
        <f t="shared" si="45"/>
        <v>0</v>
      </c>
      <c r="H64" s="160">
        <f t="shared" si="45"/>
        <v>0</v>
      </c>
      <c r="I64" s="160">
        <f t="shared" si="45"/>
        <v>0</v>
      </c>
      <c r="J64" s="92"/>
      <c r="L64" s="160">
        <f t="shared" ref="L64:R64" si="46">L61-L62</f>
        <v>0</v>
      </c>
      <c r="M64" s="160">
        <f t="shared" si="46"/>
        <v>0</v>
      </c>
      <c r="N64" s="160">
        <f t="shared" si="46"/>
        <v>0</v>
      </c>
      <c r="O64" s="160">
        <f t="shared" si="46"/>
        <v>0</v>
      </c>
      <c r="P64" s="160">
        <f t="shared" si="46"/>
        <v>0</v>
      </c>
      <c r="Q64" s="160">
        <f t="shared" si="46"/>
        <v>0</v>
      </c>
      <c r="R64" s="160">
        <f t="shared" si="46"/>
        <v>0</v>
      </c>
    </row>
    <row r="65" spans="1:18">
      <c r="A65" s="159" t="s">
        <v>206</v>
      </c>
      <c r="B65" s="159"/>
      <c r="C65" s="161">
        <f t="shared" ref="C65:I68" si="47">C49+C43+C37+C55+C61</f>
        <v>37491802.519999996</v>
      </c>
      <c r="D65" s="161">
        <f t="shared" si="47"/>
        <v>35435032.291316003</v>
      </c>
      <c r="E65" s="161">
        <f t="shared" si="47"/>
        <v>33378262.062632002</v>
      </c>
      <c r="F65" s="161">
        <f t="shared" si="47"/>
        <v>31321491.833948001</v>
      </c>
      <c r="G65" s="161">
        <f t="shared" si="47"/>
        <v>29264721.605264004</v>
      </c>
      <c r="H65" s="161">
        <f t="shared" si="47"/>
        <v>27207951.376580007</v>
      </c>
      <c r="I65" s="161">
        <f t="shared" si="47"/>
        <v>25151181.147896007</v>
      </c>
      <c r="J65" s="92"/>
      <c r="L65" s="161">
        <f t="shared" ref="L65:R68" si="48">L49+L43+L37+L55+L61</f>
        <v>37491802.519999996</v>
      </c>
      <c r="M65" s="161">
        <f t="shared" si="48"/>
        <v>32368761.368000001</v>
      </c>
      <c r="N65" s="161">
        <f t="shared" si="48"/>
        <v>27964103.466200002</v>
      </c>
      <c r="O65" s="161">
        <f t="shared" si="48"/>
        <v>24175078.61933</v>
      </c>
      <c r="P65" s="161">
        <f t="shared" si="48"/>
        <v>20913848.432184502</v>
      </c>
      <c r="Q65" s="161">
        <f t="shared" si="48"/>
        <v>18105299.612535428</v>
      </c>
      <c r="R65" s="161">
        <f t="shared" si="48"/>
        <v>15685180.271315854</v>
      </c>
    </row>
    <row r="66" spans="1:18">
      <c r="A66" s="159" t="s">
        <v>207</v>
      </c>
      <c r="B66" s="159"/>
      <c r="C66" s="161">
        <f t="shared" si="47"/>
        <v>2056770.2286839997</v>
      </c>
      <c r="D66" s="161">
        <f t="shared" si="47"/>
        <v>2056770.2286839997</v>
      </c>
      <c r="E66" s="161">
        <f t="shared" si="47"/>
        <v>2056770.2286839997</v>
      </c>
      <c r="F66" s="161">
        <f t="shared" si="47"/>
        <v>2056770.2286839997</v>
      </c>
      <c r="G66" s="161">
        <f t="shared" si="47"/>
        <v>2056770.2286839997</v>
      </c>
      <c r="H66" s="161">
        <f t="shared" si="47"/>
        <v>2056770.2286839997</v>
      </c>
      <c r="I66" s="161">
        <f t="shared" si="47"/>
        <v>2056770.2286839997</v>
      </c>
      <c r="J66" s="92"/>
      <c r="L66" s="161">
        <f t="shared" si="48"/>
        <v>5123041.1519999998</v>
      </c>
      <c r="M66" s="161">
        <f t="shared" si="48"/>
        <v>4404657.9018000001</v>
      </c>
      <c r="N66" s="161">
        <f t="shared" si="48"/>
        <v>3789024.84687</v>
      </c>
      <c r="O66" s="161">
        <f t="shared" si="48"/>
        <v>3261230.1871455004</v>
      </c>
      <c r="P66" s="161">
        <f t="shared" si="48"/>
        <v>2808548.8196490752</v>
      </c>
      <c r="Q66" s="161">
        <f t="shared" si="48"/>
        <v>2420119.3412195742</v>
      </c>
      <c r="R66" s="161">
        <f t="shared" si="48"/>
        <v>2086669.0001027118</v>
      </c>
    </row>
    <row r="67" spans="1:18">
      <c r="A67" s="159" t="s">
        <v>208</v>
      </c>
      <c r="B67" s="159"/>
      <c r="C67" s="161">
        <f t="shared" si="47"/>
        <v>2056770.2286839997</v>
      </c>
      <c r="D67" s="161">
        <f t="shared" si="47"/>
        <v>4113540.4573679995</v>
      </c>
      <c r="E67" s="161">
        <f t="shared" si="47"/>
        <v>6170310.6860519992</v>
      </c>
      <c r="F67" s="161">
        <f t="shared" si="47"/>
        <v>8227080.914735999</v>
      </c>
      <c r="G67" s="161">
        <f t="shared" si="47"/>
        <v>10283851.14342</v>
      </c>
      <c r="H67" s="161">
        <f t="shared" si="47"/>
        <v>12340621.372103998</v>
      </c>
      <c r="I67" s="161">
        <f t="shared" si="47"/>
        <v>14397391.600787997</v>
      </c>
      <c r="J67" s="92"/>
      <c r="L67" s="161">
        <f t="shared" si="48"/>
        <v>5123041.1519999998</v>
      </c>
      <c r="M67" s="161">
        <f t="shared" si="48"/>
        <v>9527699.0537999999</v>
      </c>
      <c r="N67" s="161">
        <f t="shared" si="48"/>
        <v>13316723.900669999</v>
      </c>
      <c r="O67" s="161">
        <f t="shared" si="48"/>
        <v>16577954.087815497</v>
      </c>
      <c r="P67" s="161">
        <f t="shared" si="48"/>
        <v>19386502.907464571</v>
      </c>
      <c r="Q67" s="161">
        <f t="shared" si="48"/>
        <v>21806622.248684146</v>
      </c>
      <c r="R67" s="161">
        <f t="shared" si="48"/>
        <v>23893291.248786859</v>
      </c>
    </row>
    <row r="68" spans="1:18">
      <c r="A68" s="159" t="s">
        <v>202</v>
      </c>
      <c r="B68" s="159"/>
      <c r="C68" s="161">
        <f t="shared" si="47"/>
        <v>35435032.291316003</v>
      </c>
      <c r="D68" s="161">
        <f t="shared" si="47"/>
        <v>33378262.062632002</v>
      </c>
      <c r="E68" s="161">
        <f t="shared" si="47"/>
        <v>31321491.833948001</v>
      </c>
      <c r="F68" s="161">
        <f t="shared" si="47"/>
        <v>29264721.605264004</v>
      </c>
      <c r="G68" s="161">
        <f t="shared" si="47"/>
        <v>27207951.376580007</v>
      </c>
      <c r="H68" s="161">
        <f t="shared" si="47"/>
        <v>25151181.147896007</v>
      </c>
      <c r="I68" s="161">
        <f t="shared" si="47"/>
        <v>23094410.919212006</v>
      </c>
      <c r="J68" s="92"/>
      <c r="L68" s="161">
        <f t="shared" si="48"/>
        <v>32368761.368000001</v>
      </c>
      <c r="M68" s="161">
        <f t="shared" si="48"/>
        <v>27964103.466200002</v>
      </c>
      <c r="N68" s="161">
        <f t="shared" si="48"/>
        <v>24175078.61933</v>
      </c>
      <c r="O68" s="161">
        <f t="shared" si="48"/>
        <v>20913848.432184502</v>
      </c>
      <c r="P68" s="161">
        <f t="shared" si="48"/>
        <v>18105299.612535428</v>
      </c>
      <c r="Q68" s="161">
        <f t="shared" si="48"/>
        <v>15685180.271315854</v>
      </c>
      <c r="R68" s="161">
        <f t="shared" si="48"/>
        <v>13598511.271213144</v>
      </c>
    </row>
    <row r="69" spans="1:18">
      <c r="A69" s="164"/>
      <c r="B69" s="164"/>
      <c r="C69" s="165"/>
      <c r="D69" s="165"/>
      <c r="E69" s="165"/>
      <c r="F69" s="165"/>
      <c r="G69" s="165"/>
      <c r="H69" s="165"/>
      <c r="I69" s="165"/>
      <c r="J69" s="87"/>
    </row>
    <row r="70" spans="1:18">
      <c r="A70" s="87"/>
      <c r="B70" s="87"/>
      <c r="C70" s="87"/>
      <c r="D70" s="87"/>
      <c r="E70" s="87"/>
      <c r="F70" s="87"/>
      <c r="G70" s="87"/>
      <c r="H70" s="87"/>
      <c r="I70" s="87"/>
      <c r="J70" s="87"/>
    </row>
    <row r="71" spans="1:18" ht="28.5">
      <c r="A71" s="166" t="s">
        <v>209</v>
      </c>
      <c r="B71" s="167" t="s">
        <v>210</v>
      </c>
      <c r="C71" s="168" t="s">
        <v>211</v>
      </c>
      <c r="D71" s="87"/>
      <c r="E71" s="87"/>
      <c r="F71" s="87"/>
      <c r="G71" s="87"/>
      <c r="H71" s="87"/>
      <c r="I71" s="87"/>
      <c r="J71" s="87"/>
    </row>
    <row r="72" spans="1:18" ht="28.5">
      <c r="A72" s="169" t="s">
        <v>212</v>
      </c>
      <c r="B72" s="167" t="s">
        <v>213</v>
      </c>
      <c r="C72" s="168" t="s">
        <v>214</v>
      </c>
      <c r="D72" s="87"/>
      <c r="E72" s="87"/>
      <c r="F72" s="87"/>
      <c r="G72" s="87"/>
      <c r="H72" s="87"/>
      <c r="I72" s="87"/>
      <c r="J72" s="87"/>
    </row>
    <row r="73" spans="1:18">
      <c r="A73" s="169" t="s">
        <v>149</v>
      </c>
      <c r="B73" s="170">
        <v>0</v>
      </c>
      <c r="C73" s="170">
        <v>0</v>
      </c>
      <c r="D73" s="87"/>
      <c r="E73" s="87"/>
      <c r="F73" s="87"/>
      <c r="G73" s="87"/>
      <c r="H73" s="87"/>
      <c r="I73" s="87"/>
      <c r="J73" s="87"/>
    </row>
    <row r="74" spans="1:18">
      <c r="A74" s="171" t="s">
        <v>203</v>
      </c>
      <c r="B74" s="170">
        <v>3.1699999999999999E-2</v>
      </c>
      <c r="C74" s="170">
        <v>0.1</v>
      </c>
      <c r="D74" s="172"/>
      <c r="E74" s="87"/>
      <c r="F74" s="87"/>
      <c r="G74" s="87"/>
      <c r="H74" s="87"/>
      <c r="I74" s="87"/>
      <c r="J74" s="87"/>
    </row>
    <row r="75" spans="1:18">
      <c r="A75" s="171" t="s">
        <v>205</v>
      </c>
      <c r="B75" s="173">
        <v>0.1</v>
      </c>
      <c r="C75" s="170">
        <v>0.1</v>
      </c>
      <c r="D75" s="87"/>
      <c r="E75" s="87"/>
      <c r="F75" s="87"/>
      <c r="G75" s="87"/>
      <c r="H75" s="87"/>
      <c r="I75" s="87"/>
      <c r="J75" s="87"/>
    </row>
    <row r="76" spans="1:18">
      <c r="A76" s="87" t="s">
        <v>215</v>
      </c>
      <c r="B76" s="173">
        <v>0.1</v>
      </c>
      <c r="C76" s="173">
        <v>0.4</v>
      </c>
      <c r="D76" s="87"/>
      <c r="E76" s="87"/>
      <c r="F76" s="87"/>
      <c r="G76" s="87"/>
      <c r="H76" s="87"/>
      <c r="I76" s="87"/>
      <c r="J76" s="87"/>
    </row>
    <row r="77" spans="1:18">
      <c r="A77" s="87" t="s">
        <v>280</v>
      </c>
      <c r="B77" s="173">
        <v>0.1188</v>
      </c>
      <c r="C77" s="173">
        <v>0.15</v>
      </c>
      <c r="D77" s="87"/>
      <c r="E77" s="87"/>
      <c r="F77" s="87"/>
      <c r="G77" s="87"/>
      <c r="H77" s="87"/>
      <c r="I77" s="87"/>
      <c r="J77" s="87"/>
    </row>
    <row r="78" spans="1:18">
      <c r="A78" s="171" t="s">
        <v>216</v>
      </c>
      <c r="B78" s="173">
        <v>6.3299999999999995E-2</v>
      </c>
      <c r="C78" s="173">
        <v>0.15</v>
      </c>
      <c r="D78" s="87"/>
      <c r="E78" s="87"/>
      <c r="F78" s="87"/>
      <c r="G78" s="87"/>
      <c r="H78" s="87"/>
      <c r="I78" s="87"/>
      <c r="J78" s="87"/>
    </row>
    <row r="79" spans="1:18" ht="28.5">
      <c r="A79" s="169" t="s">
        <v>209</v>
      </c>
      <c r="B79" s="170"/>
      <c r="C79" s="174"/>
      <c r="D79" s="87"/>
      <c r="E79" s="87"/>
      <c r="F79" s="87"/>
      <c r="G79" s="87"/>
      <c r="H79" s="87"/>
      <c r="I79" s="87"/>
      <c r="J79" s="87"/>
    </row>
    <row r="80" spans="1:18">
      <c r="A80" s="171" t="s">
        <v>217</v>
      </c>
      <c r="B80" s="174">
        <v>0.2</v>
      </c>
      <c r="C80" s="175">
        <v>0.2</v>
      </c>
      <c r="D80" s="87"/>
      <c r="E80" s="87"/>
      <c r="F80" s="87"/>
      <c r="G80" s="87"/>
      <c r="H80" s="87"/>
      <c r="I80" s="87"/>
      <c r="J80" s="87"/>
    </row>
    <row r="81" spans="1:13">
      <c r="A81" s="87"/>
      <c r="B81" s="87"/>
      <c r="C81" s="87"/>
      <c r="D81" s="87"/>
      <c r="E81" s="87"/>
      <c r="F81" s="87"/>
      <c r="G81" s="87"/>
      <c r="H81" s="87"/>
      <c r="I81" s="87"/>
      <c r="J81" s="87"/>
    </row>
    <row r="82" spans="1:13">
      <c r="A82" s="87"/>
      <c r="B82" s="87"/>
      <c r="C82" s="87"/>
      <c r="D82" s="87"/>
      <c r="E82" s="176"/>
      <c r="F82" s="87"/>
      <c r="G82" s="87"/>
      <c r="H82" s="87"/>
      <c r="I82" s="87"/>
      <c r="J82" s="87"/>
    </row>
    <row r="83" spans="1:13" s="58" customFormat="1" ht="17.5">
      <c r="A83" s="416" t="s">
        <v>577</v>
      </c>
      <c r="B83" s="416"/>
      <c r="C83" s="416"/>
      <c r="D83" s="416"/>
      <c r="E83" s="416"/>
      <c r="F83" s="416"/>
      <c r="G83" s="416"/>
      <c r="H83" s="416"/>
      <c r="I83" s="416"/>
      <c r="J83" s="416"/>
    </row>
    <row r="84" spans="1:13" s="58" customFormat="1">
      <c r="A84" s="30"/>
      <c r="B84" s="30"/>
    </row>
    <row r="85" spans="1:13" s="58" customFormat="1">
      <c r="A85" s="146" t="s">
        <v>0</v>
      </c>
      <c r="B85" s="147" t="s">
        <v>347</v>
      </c>
      <c r="C85" s="148" t="s">
        <v>2</v>
      </c>
      <c r="D85" s="148" t="s">
        <v>3</v>
      </c>
      <c r="E85" s="148" t="s">
        <v>4</v>
      </c>
      <c r="F85" s="148" t="s">
        <v>5</v>
      </c>
      <c r="G85" s="148" t="s">
        <v>6</v>
      </c>
      <c r="H85" s="148" t="s">
        <v>171</v>
      </c>
      <c r="I85" s="148" t="s">
        <v>170</v>
      </c>
      <c r="J85" s="33"/>
      <c r="L85" s="33"/>
      <c r="M85" s="33"/>
    </row>
    <row r="86" spans="1:13" s="58" customFormat="1">
      <c r="A86" s="149" t="s">
        <v>258</v>
      </c>
      <c r="B86" s="150">
        <v>5</v>
      </c>
      <c r="C86" s="151">
        <f>'1.Project Cost and MOF'!$D$10/5</f>
        <v>6000</v>
      </c>
      <c r="D86" s="151">
        <f>'1.Project Cost and MOF'!$D$10/5</f>
        <v>6000</v>
      </c>
      <c r="E86" s="151">
        <f>'1.Project Cost and MOF'!$D$10/5</f>
        <v>6000</v>
      </c>
      <c r="F86" s="151">
        <f>'1.Project Cost and MOF'!$D$10/5</f>
        <v>6000</v>
      </c>
      <c r="G86" s="151">
        <f>'1.Project Cost and MOF'!$D$10/5</f>
        <v>6000</v>
      </c>
      <c r="H86" s="151">
        <v>0</v>
      </c>
      <c r="I86" s="151">
        <v>0</v>
      </c>
      <c r="J86" s="33"/>
      <c r="L86" s="33"/>
      <c r="M86" s="33"/>
    </row>
    <row r="87" spans="1:13" s="58" customFormat="1">
      <c r="A87" s="152" t="s">
        <v>348</v>
      </c>
      <c r="B87" s="153"/>
      <c r="C87" s="154">
        <f t="shared" ref="C87:I87" si="49">SUM(C85:C86)</f>
        <v>6000</v>
      </c>
      <c r="D87" s="154">
        <f t="shared" si="49"/>
        <v>6000</v>
      </c>
      <c r="E87" s="154">
        <f t="shared" si="49"/>
        <v>6000</v>
      </c>
      <c r="F87" s="154">
        <f t="shared" si="49"/>
        <v>6000</v>
      </c>
      <c r="G87" s="154">
        <f t="shared" si="49"/>
        <v>6000</v>
      </c>
      <c r="H87" s="154">
        <f t="shared" si="49"/>
        <v>0</v>
      </c>
      <c r="I87" s="154">
        <f t="shared" si="49"/>
        <v>0</v>
      </c>
      <c r="J87" s="59"/>
      <c r="L87" s="59"/>
      <c r="M87" s="59"/>
    </row>
    <row r="88" spans="1:13" s="58" customFormat="1">
      <c r="C88" s="33"/>
      <c r="D88" s="33"/>
      <c r="E88" s="33"/>
      <c r="F88" s="33"/>
      <c r="G88" s="33"/>
      <c r="H88" s="33"/>
      <c r="I88" s="33"/>
      <c r="J88" s="33"/>
      <c r="L88" s="33"/>
      <c r="M88" s="33"/>
    </row>
    <row r="91" spans="1:13">
      <c r="A91" s="28"/>
      <c r="B91" s="29"/>
      <c r="C91" s="29"/>
      <c r="D91" s="29"/>
      <c r="E91" s="29"/>
      <c r="F91" s="29"/>
      <c r="G91" s="29"/>
      <c r="H91" s="29"/>
      <c r="I91" s="29"/>
      <c r="J91" s="29"/>
      <c r="L91" s="29"/>
    </row>
    <row r="92" spans="1:13" ht="17.5">
      <c r="A92" s="429" t="s">
        <v>578</v>
      </c>
      <c r="B92" s="429"/>
      <c r="C92" s="429"/>
      <c r="D92" s="429"/>
      <c r="E92" s="429"/>
      <c r="F92" s="429"/>
      <c r="G92" s="429"/>
      <c r="H92" s="429"/>
      <c r="I92" s="143"/>
      <c r="J92" s="143"/>
      <c r="L92" s="143"/>
    </row>
    <row r="93" spans="1:13">
      <c r="A93" s="30"/>
      <c r="B93" s="29"/>
      <c r="C93" s="29"/>
      <c r="D93" s="29"/>
      <c r="E93" s="29"/>
      <c r="F93" s="29"/>
      <c r="G93" s="29"/>
      <c r="H93" s="29"/>
      <c r="I93" s="29"/>
      <c r="J93" s="29"/>
      <c r="L93" s="29"/>
    </row>
    <row r="94" spans="1:13">
      <c r="A94" s="141" t="s">
        <v>0</v>
      </c>
      <c r="B94" s="113" t="s">
        <v>2</v>
      </c>
      <c r="C94" s="113" t="s">
        <v>3</v>
      </c>
      <c r="D94" s="113" t="s">
        <v>4</v>
      </c>
      <c r="E94" s="113" t="s">
        <v>5</v>
      </c>
      <c r="F94" s="113" t="s">
        <v>6</v>
      </c>
      <c r="G94" s="113" t="s">
        <v>171</v>
      </c>
      <c r="H94" s="113" t="s">
        <v>170</v>
      </c>
      <c r="I94" s="23"/>
      <c r="J94" s="23"/>
      <c r="L94" s="23"/>
    </row>
    <row r="95" spans="1:13">
      <c r="A95" s="81" t="s">
        <v>230</v>
      </c>
      <c r="B95" s="144">
        <f>'6.Cons Profit &amp; Loss'!B49</f>
        <v>7838101.1640122347</v>
      </c>
      <c r="C95" s="144">
        <f>'6.Cons Profit &amp; Loss'!C49</f>
        <v>6525980.7034268118</v>
      </c>
      <c r="D95" s="144">
        <f>'6.Cons Profit &amp; Loss'!D49</f>
        <v>7606163.3886038009</v>
      </c>
      <c r="E95" s="144">
        <f>'6.Cons Profit &amp; Loss'!E49</f>
        <v>8774260.4485839047</v>
      </c>
      <c r="F95" s="144">
        <f>'6.Cons Profit &amp; Loss'!F49</f>
        <v>10037329.11405522</v>
      </c>
      <c r="G95" s="144">
        <f>'6.Cons Profit &amp; Loss'!G49</f>
        <v>11409035.097512837</v>
      </c>
      <c r="H95" s="144">
        <f>'6.Cons Profit &amp; Loss'!H49</f>
        <v>12885711.340095043</v>
      </c>
      <c r="I95" s="32"/>
      <c r="J95" s="32"/>
      <c r="L95" s="32"/>
    </row>
    <row r="96" spans="1:13">
      <c r="A96" s="81" t="s">
        <v>231</v>
      </c>
      <c r="B96" s="144">
        <f>'6.Cons Profit &amp; Loss'!B42</f>
        <v>2056770.2286839997</v>
      </c>
      <c r="C96" s="144">
        <f>'6.Cons Profit &amp; Loss'!C42</f>
        <v>2056770.2286839997</v>
      </c>
      <c r="D96" s="144">
        <f>'6.Cons Profit &amp; Loss'!D42</f>
        <v>2056770.2286839997</v>
      </c>
      <c r="E96" s="144">
        <f>'6.Cons Profit &amp; Loss'!E42</f>
        <v>2056770.2286839997</v>
      </c>
      <c r="F96" s="144">
        <f>'6.Cons Profit &amp; Loss'!F42</f>
        <v>2056770.2286839997</v>
      </c>
      <c r="G96" s="144">
        <f>'6.Cons Profit &amp; Loss'!G42</f>
        <v>2056770.2286839997</v>
      </c>
      <c r="H96" s="144">
        <f>'6.Cons Profit &amp; Loss'!H42</f>
        <v>2056770.2286839997</v>
      </c>
      <c r="I96" s="32"/>
      <c r="J96" s="32"/>
      <c r="L96" s="32"/>
    </row>
    <row r="97" spans="1:12">
      <c r="A97" s="81" t="s">
        <v>232</v>
      </c>
      <c r="B97" s="144">
        <f>'3.Other Exp &amp; Taxes'!L66</f>
        <v>5123041.1519999998</v>
      </c>
      <c r="C97" s="144">
        <f>'3.Other Exp &amp; Taxes'!M66</f>
        <v>4404657.9018000001</v>
      </c>
      <c r="D97" s="144">
        <f>'3.Other Exp &amp; Taxes'!N66</f>
        <v>3789024.84687</v>
      </c>
      <c r="E97" s="144">
        <f>'3.Other Exp &amp; Taxes'!O66</f>
        <v>3261230.1871455004</v>
      </c>
      <c r="F97" s="144">
        <f>'3.Other Exp &amp; Taxes'!P66</f>
        <v>2808548.8196490752</v>
      </c>
      <c r="G97" s="144">
        <f>'3.Other Exp &amp; Taxes'!Q66</f>
        <v>2420119.3412195742</v>
      </c>
      <c r="H97" s="144">
        <f>'3.Other Exp &amp; Taxes'!R66</f>
        <v>2086669.0001027118</v>
      </c>
      <c r="I97" s="32"/>
      <c r="J97" s="32"/>
      <c r="L97" s="32"/>
    </row>
    <row r="98" spans="1:12">
      <c r="A98" s="81" t="s">
        <v>293</v>
      </c>
      <c r="B98" s="144">
        <f t="shared" ref="B98:H98" si="50">B95+B96-B97</f>
        <v>4771830.2406962356</v>
      </c>
      <c r="C98" s="144">
        <f t="shared" si="50"/>
        <v>4178093.0303108124</v>
      </c>
      <c r="D98" s="144">
        <f t="shared" si="50"/>
        <v>5873908.7704178002</v>
      </c>
      <c r="E98" s="144">
        <f t="shared" si="50"/>
        <v>7569800.4901224049</v>
      </c>
      <c r="F98" s="144">
        <f t="shared" si="50"/>
        <v>9285550.5230901465</v>
      </c>
      <c r="G98" s="144">
        <f t="shared" si="50"/>
        <v>11045685.984977264</v>
      </c>
      <c r="H98" s="144">
        <f t="shared" si="50"/>
        <v>12855812.568676332</v>
      </c>
      <c r="I98" s="32"/>
      <c r="J98" s="32"/>
      <c r="L98" s="32"/>
    </row>
    <row r="99" spans="1:12">
      <c r="A99" s="83" t="s">
        <v>233</v>
      </c>
      <c r="B99" s="145">
        <f t="shared" ref="B99:H99" si="51">B98*$B$102</f>
        <v>1240675.8625810214</v>
      </c>
      <c r="C99" s="145">
        <f t="shared" si="51"/>
        <v>1086304.1878808113</v>
      </c>
      <c r="D99" s="145">
        <f t="shared" si="51"/>
        <v>1527216.280308628</v>
      </c>
      <c r="E99" s="145">
        <f t="shared" si="51"/>
        <v>1968148.1274318253</v>
      </c>
      <c r="F99" s="145">
        <f t="shared" si="51"/>
        <v>2414243.1360034384</v>
      </c>
      <c r="G99" s="145">
        <f t="shared" si="51"/>
        <v>2871878.3560940889</v>
      </c>
      <c r="H99" s="145">
        <f t="shared" si="51"/>
        <v>3342511.2678558463</v>
      </c>
      <c r="I99" s="32"/>
      <c r="J99" s="32"/>
      <c r="L99" s="32"/>
    </row>
    <row r="100" spans="1:12">
      <c r="A100" s="31"/>
      <c r="B100" s="29"/>
      <c r="C100" s="29"/>
      <c r="D100" s="29"/>
      <c r="E100" s="29"/>
      <c r="F100" s="29"/>
      <c r="G100" s="29"/>
      <c r="H100" s="29"/>
      <c r="I100" s="29"/>
      <c r="J100" s="29"/>
      <c r="L100" s="29"/>
    </row>
    <row r="101" spans="1:12">
      <c r="A101" s="31"/>
      <c r="B101" s="33"/>
      <c r="C101" s="33"/>
      <c r="D101" s="33"/>
      <c r="E101" s="33"/>
      <c r="F101" s="33"/>
      <c r="G101" s="33"/>
      <c r="H101" s="33"/>
      <c r="I101" s="33"/>
      <c r="J101" s="33"/>
      <c r="L101" s="33"/>
    </row>
    <row r="102" spans="1:12">
      <c r="A102" s="34" t="s">
        <v>404</v>
      </c>
      <c r="B102" s="253">
        <v>0.26</v>
      </c>
      <c r="C102" s="33"/>
      <c r="D102" s="33"/>
      <c r="E102" s="33"/>
      <c r="F102" s="33"/>
      <c r="G102" s="33"/>
      <c r="H102" s="33"/>
      <c r="I102" s="33"/>
      <c r="J102" s="33"/>
      <c r="L102" s="33"/>
    </row>
    <row r="103" spans="1:12">
      <c r="A103" s="29"/>
      <c r="B103" s="29"/>
      <c r="C103" s="29"/>
      <c r="D103" s="29"/>
      <c r="E103" s="29"/>
      <c r="F103" s="29"/>
      <c r="G103" s="29"/>
      <c r="H103" s="29"/>
      <c r="I103" s="29"/>
      <c r="J103" s="29"/>
      <c r="L103" s="29"/>
    </row>
    <row r="104" spans="1:12" ht="29.15" customHeight="1">
      <c r="A104" s="430" t="s">
        <v>435</v>
      </c>
      <c r="B104" s="430"/>
      <c r="C104" s="430"/>
      <c r="D104" s="430"/>
      <c r="E104" s="430"/>
      <c r="F104" s="430"/>
      <c r="G104" s="430"/>
      <c r="H104" s="430"/>
      <c r="I104" s="27"/>
      <c r="J104" s="27"/>
      <c r="L104" s="27"/>
    </row>
  </sheetData>
  <mergeCells count="8">
    <mergeCell ref="A83:J83"/>
    <mergeCell ref="A92:H92"/>
    <mergeCell ref="A104:H104"/>
    <mergeCell ref="A2:K2"/>
    <mergeCell ref="A28:O28"/>
    <mergeCell ref="C31:I31"/>
    <mergeCell ref="K31:Q31"/>
    <mergeCell ref="A29:Q29"/>
  </mergeCells>
  <printOptions horizontalCentered="1" verticalCentered="1"/>
  <pageMargins left="0.7" right="0.7" top="0.75" bottom="0.75" header="0.3" footer="0.3"/>
  <pageSetup paperSize="9" scale="45"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60" zoomScale="80" zoomScaleSheetLayoutView="80" workbookViewId="0">
      <selection activeCell="D82" sqref="D82:D93"/>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414" t="s">
        <v>579</v>
      </c>
      <c r="B2" s="414"/>
      <c r="C2" s="414"/>
      <c r="D2" s="414"/>
      <c r="E2" s="414"/>
      <c r="F2" s="414"/>
      <c r="G2" s="434"/>
    </row>
    <row r="3" spans="1:7">
      <c r="B3" s="15"/>
      <c r="C3" s="15"/>
      <c r="D3" s="15"/>
      <c r="E3" s="15"/>
      <c r="F3" s="15"/>
      <c r="G3" s="15"/>
    </row>
    <row r="4" spans="1:7">
      <c r="A4" s="87"/>
      <c r="B4" s="87"/>
      <c r="C4" s="87" t="s">
        <v>481</v>
      </c>
      <c r="D4" s="105">
        <f>'1.Project Cost and MOF'!E20</f>
        <v>11247540.755999999</v>
      </c>
      <c r="E4" s="87"/>
      <c r="F4" s="87"/>
      <c r="G4" s="87"/>
    </row>
    <row r="5" spans="1:7">
      <c r="A5" s="87"/>
      <c r="B5" s="87"/>
      <c r="C5" s="87" t="s">
        <v>482</v>
      </c>
      <c r="D5" s="247">
        <v>0.12</v>
      </c>
      <c r="E5" s="87"/>
      <c r="F5" s="87"/>
      <c r="G5" s="87"/>
    </row>
    <row r="6" spans="1:7">
      <c r="A6" s="87"/>
      <c r="B6" s="87"/>
      <c r="C6" s="87" t="s">
        <v>483</v>
      </c>
      <c r="D6" s="248">
        <v>7</v>
      </c>
      <c r="E6" s="87"/>
      <c r="F6" s="87"/>
      <c r="G6" s="87"/>
    </row>
    <row r="7" spans="1:7">
      <c r="A7" s="87"/>
      <c r="B7" s="87"/>
      <c r="C7" s="87" t="s">
        <v>484</v>
      </c>
      <c r="D7" s="248">
        <v>6</v>
      </c>
      <c r="E7" s="87"/>
      <c r="F7" s="87"/>
      <c r="G7" s="87"/>
    </row>
    <row r="8" spans="1:7">
      <c r="A8" s="87"/>
      <c r="B8" s="87"/>
      <c r="C8" s="87" t="s">
        <v>22</v>
      </c>
      <c r="D8" s="204">
        <f>PMT(D5/12,(D6-(D7/12))*12,-D4)</f>
        <v>208359.33215272051</v>
      </c>
      <c r="E8" s="204"/>
      <c r="F8" s="236"/>
      <c r="G8" s="87"/>
    </row>
    <row r="9" spans="1:7">
      <c r="A9" s="141" t="s">
        <v>294</v>
      </c>
      <c r="B9" s="205" t="s">
        <v>18</v>
      </c>
      <c r="C9" s="206" t="s">
        <v>19</v>
      </c>
      <c r="D9" s="206" t="s">
        <v>20</v>
      </c>
      <c r="E9" s="206" t="s">
        <v>21</v>
      </c>
      <c r="F9" s="206" t="s">
        <v>22</v>
      </c>
      <c r="G9" s="206" t="s">
        <v>23</v>
      </c>
    </row>
    <row r="10" spans="1:7">
      <c r="A10" s="88" t="s">
        <v>11</v>
      </c>
      <c r="B10" s="88" t="s">
        <v>52</v>
      </c>
      <c r="C10" s="89">
        <f>D4</f>
        <v>11247540.755999999</v>
      </c>
      <c r="D10" s="89">
        <f t="shared" ref="D10:D41" si="0">C10*$D$5/12</f>
        <v>112475.40755999998</v>
      </c>
      <c r="E10" s="89">
        <f t="shared" ref="E10:E15" si="1">F10-D10</f>
        <v>0</v>
      </c>
      <c r="F10" s="89">
        <f t="shared" ref="F10:F15" si="2">D10</f>
        <v>112475.40755999998</v>
      </c>
      <c r="G10" s="89">
        <f>C10-E10</f>
        <v>11247540.755999999</v>
      </c>
    </row>
    <row r="11" spans="1:7">
      <c r="A11" s="88"/>
      <c r="B11" s="88" t="s">
        <v>53</v>
      </c>
      <c r="C11" s="89">
        <f>G10</f>
        <v>11247540.755999999</v>
      </c>
      <c r="D11" s="89">
        <f t="shared" si="0"/>
        <v>112475.40755999998</v>
      </c>
      <c r="E11" s="89">
        <f t="shared" si="1"/>
        <v>0</v>
      </c>
      <c r="F11" s="89">
        <f t="shared" si="2"/>
        <v>112475.40755999998</v>
      </c>
      <c r="G11" s="89">
        <f t="shared" ref="G11:G74" si="3">C11-E11</f>
        <v>11247540.755999999</v>
      </c>
    </row>
    <row r="12" spans="1:7">
      <c r="A12" s="88"/>
      <c r="B12" s="88" t="s">
        <v>54</v>
      </c>
      <c r="C12" s="89">
        <f t="shared" ref="C12:C75" si="4">G11</f>
        <v>11247540.755999999</v>
      </c>
      <c r="D12" s="89">
        <f t="shared" si="0"/>
        <v>112475.40755999998</v>
      </c>
      <c r="E12" s="89">
        <f t="shared" si="1"/>
        <v>0</v>
      </c>
      <c r="F12" s="89">
        <f t="shared" si="2"/>
        <v>112475.40755999998</v>
      </c>
      <c r="G12" s="89">
        <f t="shared" si="3"/>
        <v>11247540.755999999</v>
      </c>
    </row>
    <row r="13" spans="1:7">
      <c r="A13" s="88"/>
      <c r="B13" s="88" t="s">
        <v>55</v>
      </c>
      <c r="C13" s="89">
        <f t="shared" si="4"/>
        <v>11247540.755999999</v>
      </c>
      <c r="D13" s="89">
        <f t="shared" si="0"/>
        <v>112475.40755999998</v>
      </c>
      <c r="E13" s="89">
        <f t="shared" si="1"/>
        <v>0</v>
      </c>
      <c r="F13" s="89">
        <f t="shared" si="2"/>
        <v>112475.40755999998</v>
      </c>
      <c r="G13" s="89">
        <f t="shared" si="3"/>
        <v>11247540.755999999</v>
      </c>
    </row>
    <row r="14" spans="1:7">
      <c r="A14" s="88"/>
      <c r="B14" s="88" t="s">
        <v>56</v>
      </c>
      <c r="C14" s="89">
        <f t="shared" si="4"/>
        <v>11247540.755999999</v>
      </c>
      <c r="D14" s="89">
        <f t="shared" si="0"/>
        <v>112475.40755999998</v>
      </c>
      <c r="E14" s="89">
        <f t="shared" si="1"/>
        <v>0</v>
      </c>
      <c r="F14" s="89">
        <f t="shared" si="2"/>
        <v>112475.40755999998</v>
      </c>
      <c r="G14" s="89">
        <f t="shared" si="3"/>
        <v>11247540.755999999</v>
      </c>
    </row>
    <row r="15" spans="1:7">
      <c r="A15" s="88"/>
      <c r="B15" s="88" t="s">
        <v>57</v>
      </c>
      <c r="C15" s="89">
        <f t="shared" si="4"/>
        <v>11247540.755999999</v>
      </c>
      <c r="D15" s="89">
        <f t="shared" si="0"/>
        <v>112475.40755999998</v>
      </c>
      <c r="E15" s="89">
        <f t="shared" si="1"/>
        <v>0</v>
      </c>
      <c r="F15" s="89">
        <f t="shared" si="2"/>
        <v>112475.40755999998</v>
      </c>
      <c r="G15" s="89">
        <f t="shared" si="3"/>
        <v>11247540.755999999</v>
      </c>
    </row>
    <row r="16" spans="1:7">
      <c r="A16" s="88"/>
      <c r="B16" s="88" t="s">
        <v>58</v>
      </c>
      <c r="C16" s="89">
        <f t="shared" si="4"/>
        <v>11247540.755999999</v>
      </c>
      <c r="D16" s="89">
        <f t="shared" si="0"/>
        <v>112475.40755999998</v>
      </c>
      <c r="E16" s="89">
        <f>F16-D16</f>
        <v>95883.924592720534</v>
      </c>
      <c r="F16" s="89">
        <f t="shared" ref="F16:F74" si="5">$D$8</f>
        <v>208359.33215272051</v>
      </c>
      <c r="G16" s="89">
        <f t="shared" si="3"/>
        <v>11151656.831407279</v>
      </c>
    </row>
    <row r="17" spans="1:9">
      <c r="A17" s="88"/>
      <c r="B17" s="88" t="s">
        <v>59</v>
      </c>
      <c r="C17" s="89">
        <f t="shared" si="4"/>
        <v>11151656.831407279</v>
      </c>
      <c r="D17" s="89">
        <f t="shared" si="0"/>
        <v>111516.56831407279</v>
      </c>
      <c r="E17" s="89">
        <f t="shared" ref="E17:E80" si="6">F17-D17</f>
        <v>96842.763838647719</v>
      </c>
      <c r="F17" s="89">
        <f t="shared" si="5"/>
        <v>208359.33215272051</v>
      </c>
      <c r="G17" s="89">
        <f t="shared" si="3"/>
        <v>11054814.067568632</v>
      </c>
    </row>
    <row r="18" spans="1:9">
      <c r="A18" s="88"/>
      <c r="B18" s="88" t="s">
        <v>60</v>
      </c>
      <c r="C18" s="89">
        <f t="shared" si="4"/>
        <v>11054814.067568632</v>
      </c>
      <c r="D18" s="89">
        <f t="shared" si="0"/>
        <v>110548.14067568631</v>
      </c>
      <c r="E18" s="89">
        <f t="shared" si="6"/>
        <v>97811.191477034197</v>
      </c>
      <c r="F18" s="89">
        <f t="shared" si="5"/>
        <v>208359.33215272051</v>
      </c>
      <c r="G18" s="89">
        <f t="shared" si="3"/>
        <v>10957002.876091598</v>
      </c>
    </row>
    <row r="19" spans="1:9">
      <c r="A19" s="88"/>
      <c r="B19" s="88" t="s">
        <v>61</v>
      </c>
      <c r="C19" s="89">
        <f t="shared" si="4"/>
        <v>10957002.876091598</v>
      </c>
      <c r="D19" s="89">
        <f t="shared" si="0"/>
        <v>109570.02876091597</v>
      </c>
      <c r="E19" s="89">
        <f t="shared" si="6"/>
        <v>98789.30339180454</v>
      </c>
      <c r="F19" s="89">
        <f t="shared" si="5"/>
        <v>208359.33215272051</v>
      </c>
      <c r="G19" s="89">
        <f t="shared" si="3"/>
        <v>10858213.572699793</v>
      </c>
    </row>
    <row r="20" spans="1:9">
      <c r="A20" s="88"/>
      <c r="B20" s="88" t="s">
        <v>62</v>
      </c>
      <c r="C20" s="89">
        <f t="shared" si="4"/>
        <v>10858213.572699793</v>
      </c>
      <c r="D20" s="89">
        <f t="shared" si="0"/>
        <v>108582.13572699792</v>
      </c>
      <c r="E20" s="89">
        <f t="shared" si="6"/>
        <v>99777.196425722592</v>
      </c>
      <c r="F20" s="89">
        <f t="shared" si="5"/>
        <v>208359.33215272051</v>
      </c>
      <c r="G20" s="89">
        <f t="shared" si="3"/>
        <v>10758436.37627407</v>
      </c>
    </row>
    <row r="21" spans="1:9">
      <c r="A21" s="88"/>
      <c r="B21" s="88" t="s">
        <v>63</v>
      </c>
      <c r="C21" s="89">
        <f t="shared" si="4"/>
        <v>10758436.37627407</v>
      </c>
      <c r="D21" s="89">
        <f t="shared" si="0"/>
        <v>107584.36376274069</v>
      </c>
      <c r="E21" s="89">
        <f t="shared" si="6"/>
        <v>100774.96838997983</v>
      </c>
      <c r="F21" s="89">
        <f t="shared" si="5"/>
        <v>208359.33215272051</v>
      </c>
      <c r="G21" s="89">
        <f t="shared" si="3"/>
        <v>10657661.407884089</v>
      </c>
      <c r="H21" s="1"/>
      <c r="I21" s="1"/>
    </row>
    <row r="22" spans="1:9">
      <c r="A22" s="88" t="s">
        <v>12</v>
      </c>
      <c r="B22" s="88" t="s">
        <v>64</v>
      </c>
      <c r="C22" s="89">
        <f t="shared" si="4"/>
        <v>10657661.407884089</v>
      </c>
      <c r="D22" s="89">
        <f t="shared" si="0"/>
        <v>106576.61407884088</v>
      </c>
      <c r="E22" s="89">
        <f t="shared" si="6"/>
        <v>101782.71807387963</v>
      </c>
      <c r="F22" s="89">
        <f t="shared" si="5"/>
        <v>208359.33215272051</v>
      </c>
      <c r="G22" s="89">
        <f t="shared" si="3"/>
        <v>10555878.689810209</v>
      </c>
    </row>
    <row r="23" spans="1:9">
      <c r="A23" s="88"/>
      <c r="B23" s="88" t="s">
        <v>65</v>
      </c>
      <c r="C23" s="89">
        <f t="shared" si="4"/>
        <v>10555878.689810209</v>
      </c>
      <c r="D23" s="89">
        <f t="shared" si="0"/>
        <v>105558.78689810209</v>
      </c>
      <c r="E23" s="89">
        <f t="shared" si="6"/>
        <v>102800.54525461842</v>
      </c>
      <c r="F23" s="89">
        <f t="shared" si="5"/>
        <v>208359.33215272051</v>
      </c>
      <c r="G23" s="89">
        <f t="shared" si="3"/>
        <v>10453078.144555591</v>
      </c>
    </row>
    <row r="24" spans="1:9">
      <c r="A24" s="88"/>
      <c r="B24" s="88" t="s">
        <v>66</v>
      </c>
      <c r="C24" s="89">
        <f t="shared" si="4"/>
        <v>10453078.144555591</v>
      </c>
      <c r="D24" s="89">
        <f t="shared" si="0"/>
        <v>104530.78144555591</v>
      </c>
      <c r="E24" s="89">
        <f t="shared" si="6"/>
        <v>103828.5507071646</v>
      </c>
      <c r="F24" s="89">
        <f t="shared" si="5"/>
        <v>208359.33215272051</v>
      </c>
      <c r="G24" s="89">
        <f t="shared" si="3"/>
        <v>10349249.593848426</v>
      </c>
    </row>
    <row r="25" spans="1:9">
      <c r="A25" s="88"/>
      <c r="B25" s="88" t="s">
        <v>67</v>
      </c>
      <c r="C25" s="89">
        <f t="shared" si="4"/>
        <v>10349249.593848426</v>
      </c>
      <c r="D25" s="89">
        <f t="shared" si="0"/>
        <v>103492.49593848425</v>
      </c>
      <c r="E25" s="89">
        <f t="shared" si="6"/>
        <v>104866.83621423626</v>
      </c>
      <c r="F25" s="89">
        <f t="shared" si="5"/>
        <v>208359.33215272051</v>
      </c>
      <c r="G25" s="89">
        <f t="shared" si="3"/>
        <v>10244382.757634189</v>
      </c>
    </row>
    <row r="26" spans="1:9">
      <c r="A26" s="88"/>
      <c r="B26" s="88" t="s">
        <v>68</v>
      </c>
      <c r="C26" s="89">
        <f t="shared" si="4"/>
        <v>10244382.757634189</v>
      </c>
      <c r="D26" s="89">
        <f t="shared" si="0"/>
        <v>102443.82757634188</v>
      </c>
      <c r="E26" s="89">
        <f t="shared" si="6"/>
        <v>105915.50457637863</v>
      </c>
      <c r="F26" s="89">
        <f t="shared" si="5"/>
        <v>208359.33215272051</v>
      </c>
      <c r="G26" s="89">
        <f t="shared" si="3"/>
        <v>10138467.25305781</v>
      </c>
    </row>
    <row r="27" spans="1:9">
      <c r="A27" s="88"/>
      <c r="B27" s="88" t="s">
        <v>69</v>
      </c>
      <c r="C27" s="89">
        <f t="shared" si="4"/>
        <v>10138467.25305781</v>
      </c>
      <c r="D27" s="89">
        <f t="shared" si="0"/>
        <v>101384.6725305781</v>
      </c>
      <c r="E27" s="89">
        <f t="shared" si="6"/>
        <v>106974.65962214241</v>
      </c>
      <c r="F27" s="89">
        <f t="shared" si="5"/>
        <v>208359.33215272051</v>
      </c>
      <c r="G27" s="89">
        <f t="shared" si="3"/>
        <v>10031492.593435667</v>
      </c>
    </row>
    <row r="28" spans="1:9">
      <c r="A28" s="88"/>
      <c r="B28" s="88" t="s">
        <v>70</v>
      </c>
      <c r="C28" s="89">
        <f t="shared" si="4"/>
        <v>10031492.593435667</v>
      </c>
      <c r="D28" s="89">
        <f t="shared" si="0"/>
        <v>100314.92593435668</v>
      </c>
      <c r="E28" s="89">
        <f t="shared" si="6"/>
        <v>108044.40621836383</v>
      </c>
      <c r="F28" s="89">
        <f t="shared" si="5"/>
        <v>208359.33215272051</v>
      </c>
      <c r="G28" s="89">
        <f t="shared" si="3"/>
        <v>9923448.1872173045</v>
      </c>
    </row>
    <row r="29" spans="1:9">
      <c r="A29" s="88"/>
      <c r="B29" s="88" t="s">
        <v>71</v>
      </c>
      <c r="C29" s="89">
        <f t="shared" si="4"/>
        <v>9923448.1872173045</v>
      </c>
      <c r="D29" s="89">
        <f t="shared" si="0"/>
        <v>99234.481872173041</v>
      </c>
      <c r="E29" s="89">
        <f t="shared" si="6"/>
        <v>109124.85028054747</v>
      </c>
      <c r="F29" s="89">
        <f t="shared" si="5"/>
        <v>208359.33215272051</v>
      </c>
      <c r="G29" s="89">
        <f t="shared" si="3"/>
        <v>9814323.336936757</v>
      </c>
    </row>
    <row r="30" spans="1:9">
      <c r="A30" s="88"/>
      <c r="B30" s="88" t="s">
        <v>72</v>
      </c>
      <c r="C30" s="89">
        <f t="shared" si="4"/>
        <v>9814323.336936757</v>
      </c>
      <c r="D30" s="89">
        <f t="shared" si="0"/>
        <v>98143.233369367561</v>
      </c>
      <c r="E30" s="89">
        <f t="shared" si="6"/>
        <v>110216.09878335295</v>
      </c>
      <c r="F30" s="89">
        <f t="shared" si="5"/>
        <v>208359.33215272051</v>
      </c>
      <c r="G30" s="89">
        <f t="shared" si="3"/>
        <v>9704107.2381534036</v>
      </c>
    </row>
    <row r="31" spans="1:9">
      <c r="A31" s="88"/>
      <c r="B31" s="88" t="s">
        <v>73</v>
      </c>
      <c r="C31" s="89">
        <f t="shared" si="4"/>
        <v>9704107.2381534036</v>
      </c>
      <c r="D31" s="89">
        <f t="shared" si="0"/>
        <v>97041.072381534032</v>
      </c>
      <c r="E31" s="89">
        <f t="shared" si="6"/>
        <v>111318.25977118648</v>
      </c>
      <c r="F31" s="89">
        <f t="shared" si="5"/>
        <v>208359.33215272051</v>
      </c>
      <c r="G31" s="89">
        <f t="shared" si="3"/>
        <v>9592788.9783822168</v>
      </c>
    </row>
    <row r="32" spans="1:9">
      <c r="A32" s="88"/>
      <c r="B32" s="88" t="s">
        <v>74</v>
      </c>
      <c r="C32" s="89">
        <f t="shared" si="4"/>
        <v>9592788.9783822168</v>
      </c>
      <c r="D32" s="89">
        <f t="shared" si="0"/>
        <v>95927.88978382216</v>
      </c>
      <c r="E32" s="89">
        <f t="shared" si="6"/>
        <v>112431.44236889835</v>
      </c>
      <c r="F32" s="89">
        <f t="shared" si="5"/>
        <v>208359.33215272051</v>
      </c>
      <c r="G32" s="89">
        <f t="shared" si="3"/>
        <v>9480357.5360133182</v>
      </c>
    </row>
    <row r="33" spans="1:9">
      <c r="A33" s="88"/>
      <c r="B33" s="88" t="s">
        <v>75</v>
      </c>
      <c r="C33" s="89">
        <f t="shared" si="4"/>
        <v>9480357.5360133182</v>
      </c>
      <c r="D33" s="89">
        <f t="shared" si="0"/>
        <v>94803.575360133182</v>
      </c>
      <c r="E33" s="89">
        <f t="shared" si="6"/>
        <v>113555.75679258733</v>
      </c>
      <c r="F33" s="89">
        <f t="shared" si="5"/>
        <v>208359.33215272051</v>
      </c>
      <c r="G33" s="89">
        <f t="shared" si="3"/>
        <v>9366801.7792207301</v>
      </c>
      <c r="H33" s="1"/>
      <c r="I33" s="1"/>
    </row>
    <row r="34" spans="1:9">
      <c r="A34" s="88" t="s">
        <v>13</v>
      </c>
      <c r="B34" s="88" t="s">
        <v>76</v>
      </c>
      <c r="C34" s="89">
        <f t="shared" si="4"/>
        <v>9366801.7792207301</v>
      </c>
      <c r="D34" s="89">
        <f t="shared" si="0"/>
        <v>93668.017792207305</v>
      </c>
      <c r="E34" s="89">
        <f t="shared" si="6"/>
        <v>114691.31436051321</v>
      </c>
      <c r="F34" s="89">
        <f t="shared" si="5"/>
        <v>208359.33215272051</v>
      </c>
      <c r="G34" s="89">
        <f t="shared" si="3"/>
        <v>9252110.4648602176</v>
      </c>
    </row>
    <row r="35" spans="1:9">
      <c r="A35" s="88"/>
      <c r="B35" s="88" t="s">
        <v>77</v>
      </c>
      <c r="C35" s="89">
        <f t="shared" si="4"/>
        <v>9252110.4648602176</v>
      </c>
      <c r="D35" s="89">
        <f t="shared" si="0"/>
        <v>92521.104648602181</v>
      </c>
      <c r="E35" s="89">
        <f t="shared" si="6"/>
        <v>115838.22750411833</v>
      </c>
      <c r="F35" s="89">
        <f t="shared" si="5"/>
        <v>208359.33215272051</v>
      </c>
      <c r="G35" s="89">
        <f t="shared" si="3"/>
        <v>9136272.2373561002</v>
      </c>
    </row>
    <row r="36" spans="1:9">
      <c r="A36" s="88"/>
      <c r="B36" s="88" t="s">
        <v>78</v>
      </c>
      <c r="C36" s="89">
        <f t="shared" si="4"/>
        <v>9136272.2373561002</v>
      </c>
      <c r="D36" s="89">
        <f t="shared" si="0"/>
        <v>91362.722373561002</v>
      </c>
      <c r="E36" s="89">
        <f t="shared" si="6"/>
        <v>116996.60977915951</v>
      </c>
      <c r="F36" s="89">
        <f t="shared" si="5"/>
        <v>208359.33215272051</v>
      </c>
      <c r="G36" s="89">
        <f t="shared" si="3"/>
        <v>9019275.6275769416</v>
      </c>
    </row>
    <row r="37" spans="1:9">
      <c r="A37" s="88"/>
      <c r="B37" s="88" t="s">
        <v>79</v>
      </c>
      <c r="C37" s="89">
        <f t="shared" si="4"/>
        <v>9019275.6275769416</v>
      </c>
      <c r="D37" s="89">
        <f t="shared" si="0"/>
        <v>90192.756275769425</v>
      </c>
      <c r="E37" s="89">
        <f t="shared" si="6"/>
        <v>118166.57587695109</v>
      </c>
      <c r="F37" s="89">
        <f t="shared" si="5"/>
        <v>208359.33215272051</v>
      </c>
      <c r="G37" s="89">
        <f t="shared" si="3"/>
        <v>8901109.0516999904</v>
      </c>
    </row>
    <row r="38" spans="1:9">
      <c r="A38" s="88"/>
      <c r="B38" s="88" t="s">
        <v>80</v>
      </c>
      <c r="C38" s="89">
        <f t="shared" si="4"/>
        <v>8901109.0516999904</v>
      </c>
      <c r="D38" s="89">
        <f t="shared" si="0"/>
        <v>89011.090516999902</v>
      </c>
      <c r="E38" s="89">
        <f t="shared" si="6"/>
        <v>119348.24163572061</v>
      </c>
      <c r="F38" s="89">
        <f t="shared" si="5"/>
        <v>208359.33215272051</v>
      </c>
      <c r="G38" s="89">
        <f t="shared" si="3"/>
        <v>8781760.8100642692</v>
      </c>
    </row>
    <row r="39" spans="1:9">
      <c r="A39" s="88"/>
      <c r="B39" s="88" t="s">
        <v>81</v>
      </c>
      <c r="C39" s="89">
        <f t="shared" si="4"/>
        <v>8781760.8100642692</v>
      </c>
      <c r="D39" s="89">
        <f t="shared" si="0"/>
        <v>87817.608100642683</v>
      </c>
      <c r="E39" s="89">
        <f t="shared" si="6"/>
        <v>120541.72405207783</v>
      </c>
      <c r="F39" s="89">
        <f t="shared" si="5"/>
        <v>208359.33215272051</v>
      </c>
      <c r="G39" s="89">
        <f t="shared" si="3"/>
        <v>8661219.0860121921</v>
      </c>
    </row>
    <row r="40" spans="1:9">
      <c r="A40" s="88"/>
      <c r="B40" s="88" t="s">
        <v>82</v>
      </c>
      <c r="C40" s="89">
        <f t="shared" si="4"/>
        <v>8661219.0860121921</v>
      </c>
      <c r="D40" s="89">
        <f t="shared" si="0"/>
        <v>86612.190860121918</v>
      </c>
      <c r="E40" s="89">
        <f t="shared" si="6"/>
        <v>121747.14129259859</v>
      </c>
      <c r="F40" s="89">
        <f t="shared" si="5"/>
        <v>208359.33215272051</v>
      </c>
      <c r="G40" s="89">
        <f t="shared" si="3"/>
        <v>8539471.944719594</v>
      </c>
    </row>
    <row r="41" spans="1:9">
      <c r="A41" s="88"/>
      <c r="B41" s="88" t="s">
        <v>83</v>
      </c>
      <c r="C41" s="89">
        <f t="shared" si="4"/>
        <v>8539471.944719594</v>
      </c>
      <c r="D41" s="89">
        <f t="shared" si="0"/>
        <v>85394.719447195937</v>
      </c>
      <c r="E41" s="89">
        <f t="shared" si="6"/>
        <v>122964.61270552457</v>
      </c>
      <c r="F41" s="89">
        <f t="shared" si="5"/>
        <v>208359.33215272051</v>
      </c>
      <c r="G41" s="89">
        <f t="shared" si="3"/>
        <v>8416507.332014069</v>
      </c>
    </row>
    <row r="42" spans="1:9">
      <c r="A42" s="88"/>
      <c r="B42" s="88" t="s">
        <v>84</v>
      </c>
      <c r="C42" s="89">
        <f t="shared" si="4"/>
        <v>8416507.332014069</v>
      </c>
      <c r="D42" s="89">
        <f t="shared" ref="D42:D73" si="7">C42*$D$5/12</f>
        <v>84165.073320140684</v>
      </c>
      <c r="E42" s="89">
        <f t="shared" si="6"/>
        <v>124194.25883257983</v>
      </c>
      <c r="F42" s="89">
        <f t="shared" si="5"/>
        <v>208359.33215272051</v>
      </c>
      <c r="G42" s="89">
        <f t="shared" si="3"/>
        <v>8292313.0731814895</v>
      </c>
    </row>
    <row r="43" spans="1:9">
      <c r="A43" s="88"/>
      <c r="B43" s="88" t="s">
        <v>85</v>
      </c>
      <c r="C43" s="89">
        <f t="shared" si="4"/>
        <v>8292313.0731814895</v>
      </c>
      <c r="D43" s="89">
        <f t="shared" si="7"/>
        <v>82923.13073181489</v>
      </c>
      <c r="E43" s="89">
        <f t="shared" si="6"/>
        <v>125436.20142090562</v>
      </c>
      <c r="F43" s="89">
        <f t="shared" si="5"/>
        <v>208359.33215272051</v>
      </c>
      <c r="G43" s="89">
        <f t="shared" si="3"/>
        <v>8166876.8717605835</v>
      </c>
    </row>
    <row r="44" spans="1:9">
      <c r="A44" s="88"/>
      <c r="B44" s="88" t="s">
        <v>86</v>
      </c>
      <c r="C44" s="89">
        <f t="shared" si="4"/>
        <v>8166876.8717605835</v>
      </c>
      <c r="D44" s="89">
        <f t="shared" si="7"/>
        <v>81668.768717605839</v>
      </c>
      <c r="E44" s="89">
        <f t="shared" si="6"/>
        <v>126690.56343511467</v>
      </c>
      <c r="F44" s="89">
        <f t="shared" si="5"/>
        <v>208359.33215272051</v>
      </c>
      <c r="G44" s="89">
        <f t="shared" si="3"/>
        <v>8040186.3083254686</v>
      </c>
    </row>
    <row r="45" spans="1:9">
      <c r="A45" s="88"/>
      <c r="B45" s="88" t="s">
        <v>87</v>
      </c>
      <c r="C45" s="89">
        <f t="shared" si="4"/>
        <v>8040186.3083254686</v>
      </c>
      <c r="D45" s="89">
        <f t="shared" si="7"/>
        <v>80401.863083254677</v>
      </c>
      <c r="E45" s="89">
        <f t="shared" si="6"/>
        <v>127957.46906946583</v>
      </c>
      <c r="F45" s="89">
        <f t="shared" si="5"/>
        <v>208359.33215272051</v>
      </c>
      <c r="G45" s="89">
        <f t="shared" si="3"/>
        <v>7912228.8392560026</v>
      </c>
      <c r="H45" s="1"/>
      <c r="I45" s="1"/>
    </row>
    <row r="46" spans="1:9">
      <c r="A46" s="88" t="s">
        <v>14</v>
      </c>
      <c r="B46" s="88" t="s">
        <v>88</v>
      </c>
      <c r="C46" s="89">
        <f t="shared" si="4"/>
        <v>7912228.8392560026</v>
      </c>
      <c r="D46" s="89">
        <f t="shared" si="7"/>
        <v>79122.288392560018</v>
      </c>
      <c r="E46" s="89">
        <f t="shared" si="6"/>
        <v>129237.04376016049</v>
      </c>
      <c r="F46" s="89">
        <f t="shared" si="5"/>
        <v>208359.33215272051</v>
      </c>
      <c r="G46" s="89">
        <f t="shared" si="3"/>
        <v>7782991.7954958417</v>
      </c>
    </row>
    <row r="47" spans="1:9">
      <c r="A47" s="88"/>
      <c r="B47" s="88" t="s">
        <v>89</v>
      </c>
      <c r="C47" s="89">
        <f t="shared" si="4"/>
        <v>7782991.7954958417</v>
      </c>
      <c r="D47" s="89">
        <f t="shared" si="7"/>
        <v>77829.917954958408</v>
      </c>
      <c r="E47" s="89">
        <f t="shared" si="6"/>
        <v>130529.4141977621</v>
      </c>
      <c r="F47" s="89">
        <f t="shared" si="5"/>
        <v>208359.33215272051</v>
      </c>
      <c r="G47" s="89">
        <f t="shared" si="3"/>
        <v>7652462.3812980792</v>
      </c>
    </row>
    <row r="48" spans="1:9">
      <c r="A48" s="88"/>
      <c r="B48" s="88" t="s">
        <v>90</v>
      </c>
      <c r="C48" s="89">
        <f t="shared" si="4"/>
        <v>7652462.3812980792</v>
      </c>
      <c r="D48" s="89">
        <f t="shared" si="7"/>
        <v>76524.62381298079</v>
      </c>
      <c r="E48" s="89">
        <f t="shared" si="6"/>
        <v>131834.70833973971</v>
      </c>
      <c r="F48" s="89">
        <f t="shared" si="5"/>
        <v>208359.33215272051</v>
      </c>
      <c r="G48" s="89">
        <f t="shared" si="3"/>
        <v>7520627.6729583396</v>
      </c>
    </row>
    <row r="49" spans="1:9">
      <c r="A49" s="88"/>
      <c r="B49" s="88" t="s">
        <v>91</v>
      </c>
      <c r="C49" s="89">
        <f t="shared" si="4"/>
        <v>7520627.6729583396</v>
      </c>
      <c r="D49" s="89">
        <f t="shared" si="7"/>
        <v>75206.276729583391</v>
      </c>
      <c r="E49" s="89">
        <f t="shared" si="6"/>
        <v>133153.05542313712</v>
      </c>
      <c r="F49" s="89">
        <f t="shared" si="5"/>
        <v>208359.33215272051</v>
      </c>
      <c r="G49" s="89">
        <f t="shared" si="3"/>
        <v>7387474.6175352028</v>
      </c>
    </row>
    <row r="50" spans="1:9">
      <c r="A50" s="88"/>
      <c r="B50" s="88" t="s">
        <v>92</v>
      </c>
      <c r="C50" s="89">
        <f t="shared" si="4"/>
        <v>7387474.6175352028</v>
      </c>
      <c r="D50" s="89">
        <f t="shared" si="7"/>
        <v>73874.746175352033</v>
      </c>
      <c r="E50" s="89">
        <f t="shared" si="6"/>
        <v>134484.58597736846</v>
      </c>
      <c r="F50" s="89">
        <f t="shared" si="5"/>
        <v>208359.33215272051</v>
      </c>
      <c r="G50" s="89">
        <f t="shared" si="3"/>
        <v>7252990.0315578347</v>
      </c>
    </row>
    <row r="51" spans="1:9">
      <c r="A51" s="88"/>
      <c r="B51" s="88" t="s">
        <v>93</v>
      </c>
      <c r="C51" s="89">
        <f t="shared" si="4"/>
        <v>7252990.0315578347</v>
      </c>
      <c r="D51" s="89">
        <f t="shared" si="7"/>
        <v>72529.900315578343</v>
      </c>
      <c r="E51" s="89">
        <f t="shared" si="6"/>
        <v>135829.43183714215</v>
      </c>
      <c r="F51" s="89">
        <f t="shared" si="5"/>
        <v>208359.33215272051</v>
      </c>
      <c r="G51" s="89">
        <f t="shared" si="3"/>
        <v>7117160.5997206923</v>
      </c>
    </row>
    <row r="52" spans="1:9">
      <c r="A52" s="88"/>
      <c r="B52" s="88" t="s">
        <v>94</v>
      </c>
      <c r="C52" s="89">
        <f t="shared" si="4"/>
        <v>7117160.5997206923</v>
      </c>
      <c r="D52" s="89">
        <f t="shared" si="7"/>
        <v>71171.60599720692</v>
      </c>
      <c r="E52" s="89">
        <f t="shared" si="6"/>
        <v>137187.72615551361</v>
      </c>
      <c r="F52" s="89">
        <f t="shared" si="5"/>
        <v>208359.33215272051</v>
      </c>
      <c r="G52" s="89">
        <f t="shared" si="3"/>
        <v>6979972.8735651784</v>
      </c>
    </row>
    <row r="53" spans="1:9">
      <c r="A53" s="88"/>
      <c r="B53" s="88" t="s">
        <v>95</v>
      </c>
      <c r="C53" s="89">
        <f t="shared" si="4"/>
        <v>6979972.8735651784</v>
      </c>
      <c r="D53" s="89">
        <f t="shared" si="7"/>
        <v>69799.728735651777</v>
      </c>
      <c r="E53" s="89">
        <f t="shared" si="6"/>
        <v>138559.60341706872</v>
      </c>
      <c r="F53" s="89">
        <f t="shared" si="5"/>
        <v>208359.33215272051</v>
      </c>
      <c r="G53" s="89">
        <f t="shared" si="3"/>
        <v>6841413.2701481096</v>
      </c>
    </row>
    <row r="54" spans="1:9">
      <c r="A54" s="88"/>
      <c r="B54" s="88" t="s">
        <v>96</v>
      </c>
      <c r="C54" s="89">
        <f t="shared" si="4"/>
        <v>6841413.2701481096</v>
      </c>
      <c r="D54" s="89">
        <f t="shared" si="7"/>
        <v>68414.132701481096</v>
      </c>
      <c r="E54" s="89">
        <f t="shared" si="6"/>
        <v>139945.19945123943</v>
      </c>
      <c r="F54" s="89">
        <f t="shared" si="5"/>
        <v>208359.33215272051</v>
      </c>
      <c r="G54" s="89">
        <f t="shared" si="3"/>
        <v>6701468.0706968699</v>
      </c>
    </row>
    <row r="55" spans="1:9">
      <c r="A55" s="88"/>
      <c r="B55" s="88" t="s">
        <v>97</v>
      </c>
      <c r="C55" s="89">
        <f t="shared" si="4"/>
        <v>6701468.0706968699</v>
      </c>
      <c r="D55" s="89">
        <f t="shared" si="7"/>
        <v>67014.680706968691</v>
      </c>
      <c r="E55" s="89">
        <f t="shared" si="6"/>
        <v>141344.65144575184</v>
      </c>
      <c r="F55" s="89">
        <f t="shared" si="5"/>
        <v>208359.33215272051</v>
      </c>
      <c r="G55" s="89">
        <f t="shared" si="3"/>
        <v>6560123.4192511179</v>
      </c>
    </row>
    <row r="56" spans="1:9">
      <c r="A56" s="88"/>
      <c r="B56" s="88" t="s">
        <v>98</v>
      </c>
      <c r="C56" s="89">
        <f t="shared" si="4"/>
        <v>6560123.4192511179</v>
      </c>
      <c r="D56" s="89">
        <f t="shared" si="7"/>
        <v>65601.234192511169</v>
      </c>
      <c r="E56" s="89">
        <f t="shared" si="6"/>
        <v>142758.09796020936</v>
      </c>
      <c r="F56" s="89">
        <f t="shared" si="5"/>
        <v>208359.33215272051</v>
      </c>
      <c r="G56" s="89">
        <f t="shared" si="3"/>
        <v>6417365.3212909084</v>
      </c>
    </row>
    <row r="57" spans="1:9">
      <c r="A57" s="88"/>
      <c r="B57" s="88" t="s">
        <v>99</v>
      </c>
      <c r="C57" s="89">
        <f t="shared" si="4"/>
        <v>6417365.3212909084</v>
      </c>
      <c r="D57" s="89">
        <f t="shared" si="7"/>
        <v>64173.653212909085</v>
      </c>
      <c r="E57" s="89">
        <f t="shared" si="6"/>
        <v>144185.67893981142</v>
      </c>
      <c r="F57" s="89">
        <f t="shared" si="5"/>
        <v>208359.33215272051</v>
      </c>
      <c r="G57" s="89">
        <f t="shared" si="3"/>
        <v>6273179.6423510965</v>
      </c>
      <c r="H57" s="1"/>
      <c r="I57" s="1"/>
    </row>
    <row r="58" spans="1:9">
      <c r="A58" s="88" t="s">
        <v>15</v>
      </c>
      <c r="B58" s="88" t="s">
        <v>100</v>
      </c>
      <c r="C58" s="89">
        <f t="shared" si="4"/>
        <v>6273179.6423510965</v>
      </c>
      <c r="D58" s="89">
        <f t="shared" si="7"/>
        <v>62731.796423510961</v>
      </c>
      <c r="E58" s="89">
        <f t="shared" si="6"/>
        <v>145627.53572920954</v>
      </c>
      <c r="F58" s="89">
        <f t="shared" si="5"/>
        <v>208359.33215272051</v>
      </c>
      <c r="G58" s="89">
        <f t="shared" si="3"/>
        <v>6127552.1066218866</v>
      </c>
    </row>
    <row r="59" spans="1:9">
      <c r="A59" s="88"/>
      <c r="B59" s="88" t="s">
        <v>101</v>
      </c>
      <c r="C59" s="89">
        <f t="shared" si="4"/>
        <v>6127552.1066218866</v>
      </c>
      <c r="D59" s="89">
        <f t="shared" si="7"/>
        <v>61275.521066218869</v>
      </c>
      <c r="E59" s="89">
        <f t="shared" si="6"/>
        <v>147083.81108650164</v>
      </c>
      <c r="F59" s="89">
        <f t="shared" si="5"/>
        <v>208359.33215272051</v>
      </c>
      <c r="G59" s="89">
        <f t="shared" si="3"/>
        <v>5980468.2955353847</v>
      </c>
    </row>
    <row r="60" spans="1:9">
      <c r="A60" s="88"/>
      <c r="B60" s="88" t="s">
        <v>102</v>
      </c>
      <c r="C60" s="89">
        <f t="shared" si="4"/>
        <v>5980468.2955353847</v>
      </c>
      <c r="D60" s="89">
        <f t="shared" si="7"/>
        <v>59804.682955353841</v>
      </c>
      <c r="E60" s="89">
        <f t="shared" si="6"/>
        <v>148554.64919736667</v>
      </c>
      <c r="F60" s="89">
        <f t="shared" si="5"/>
        <v>208359.33215272051</v>
      </c>
      <c r="G60" s="89">
        <f t="shared" si="3"/>
        <v>5831913.6463380177</v>
      </c>
    </row>
    <row r="61" spans="1:9">
      <c r="A61" s="88"/>
      <c r="B61" s="88" t="s">
        <v>103</v>
      </c>
      <c r="C61" s="89">
        <f t="shared" si="4"/>
        <v>5831913.6463380177</v>
      </c>
      <c r="D61" s="89">
        <f t="shared" si="7"/>
        <v>58319.136463380179</v>
      </c>
      <c r="E61" s="89">
        <f t="shared" si="6"/>
        <v>150040.19568934033</v>
      </c>
      <c r="F61" s="89">
        <f t="shared" si="5"/>
        <v>208359.33215272051</v>
      </c>
      <c r="G61" s="89">
        <f t="shared" si="3"/>
        <v>5681873.4506486775</v>
      </c>
    </row>
    <row r="62" spans="1:9">
      <c r="A62" s="88"/>
      <c r="B62" s="88" t="s">
        <v>104</v>
      </c>
      <c r="C62" s="89">
        <f t="shared" si="4"/>
        <v>5681873.4506486775</v>
      </c>
      <c r="D62" s="89">
        <f t="shared" si="7"/>
        <v>56818.73450648677</v>
      </c>
      <c r="E62" s="89">
        <f t="shared" si="6"/>
        <v>151540.59764623374</v>
      </c>
      <c r="F62" s="89">
        <f t="shared" si="5"/>
        <v>208359.33215272051</v>
      </c>
      <c r="G62" s="89">
        <f t="shared" si="3"/>
        <v>5530332.8530024439</v>
      </c>
    </row>
    <row r="63" spans="1:9">
      <c r="A63" s="88"/>
      <c r="B63" s="88" t="s">
        <v>105</v>
      </c>
      <c r="C63" s="89">
        <f t="shared" si="4"/>
        <v>5530332.8530024439</v>
      </c>
      <c r="D63" s="89">
        <f t="shared" si="7"/>
        <v>55303.328530024439</v>
      </c>
      <c r="E63" s="89">
        <f t="shared" si="6"/>
        <v>153056.00362269607</v>
      </c>
      <c r="F63" s="89">
        <f t="shared" si="5"/>
        <v>208359.33215272051</v>
      </c>
      <c r="G63" s="89">
        <f t="shared" si="3"/>
        <v>5377276.8493797481</v>
      </c>
    </row>
    <row r="64" spans="1:9">
      <c r="A64" s="88"/>
      <c r="B64" s="88" t="s">
        <v>106</v>
      </c>
      <c r="C64" s="89">
        <f t="shared" si="4"/>
        <v>5377276.8493797481</v>
      </c>
      <c r="D64" s="89">
        <f t="shared" si="7"/>
        <v>53772.768493797477</v>
      </c>
      <c r="E64" s="89">
        <f t="shared" si="6"/>
        <v>154586.56365892303</v>
      </c>
      <c r="F64" s="89">
        <f t="shared" si="5"/>
        <v>208359.33215272051</v>
      </c>
      <c r="G64" s="89">
        <f t="shared" si="3"/>
        <v>5222690.2857208252</v>
      </c>
    </row>
    <row r="65" spans="1:9">
      <c r="A65" s="88"/>
      <c r="B65" s="88" t="s">
        <v>107</v>
      </c>
      <c r="C65" s="89">
        <f t="shared" si="4"/>
        <v>5222690.2857208252</v>
      </c>
      <c r="D65" s="89">
        <f t="shared" si="7"/>
        <v>52226.902857208246</v>
      </c>
      <c r="E65" s="89">
        <f t="shared" si="6"/>
        <v>156132.42929551227</v>
      </c>
      <c r="F65" s="89">
        <f t="shared" si="5"/>
        <v>208359.33215272051</v>
      </c>
      <c r="G65" s="89">
        <f t="shared" si="3"/>
        <v>5066557.8564253133</v>
      </c>
    </row>
    <row r="66" spans="1:9">
      <c r="A66" s="88"/>
      <c r="B66" s="88" t="s">
        <v>108</v>
      </c>
      <c r="C66" s="89">
        <f t="shared" si="4"/>
        <v>5066557.8564253133</v>
      </c>
      <c r="D66" s="89">
        <f t="shared" si="7"/>
        <v>50665.578564253134</v>
      </c>
      <c r="E66" s="89">
        <f t="shared" si="6"/>
        <v>157693.75358846737</v>
      </c>
      <c r="F66" s="89">
        <f t="shared" si="5"/>
        <v>208359.33215272051</v>
      </c>
      <c r="G66" s="89">
        <f t="shared" si="3"/>
        <v>4908864.1028368454</v>
      </c>
    </row>
    <row r="67" spans="1:9">
      <c r="A67" s="88"/>
      <c r="B67" s="88" t="s">
        <v>109</v>
      </c>
      <c r="C67" s="89">
        <f t="shared" si="4"/>
        <v>4908864.1028368454</v>
      </c>
      <c r="D67" s="89">
        <f t="shared" si="7"/>
        <v>49088.641028368445</v>
      </c>
      <c r="E67" s="89">
        <f t="shared" si="6"/>
        <v>159270.69112435207</v>
      </c>
      <c r="F67" s="89">
        <f t="shared" si="5"/>
        <v>208359.33215272051</v>
      </c>
      <c r="G67" s="89">
        <f t="shared" si="3"/>
        <v>4749593.4117124937</v>
      </c>
    </row>
    <row r="68" spans="1:9">
      <c r="A68" s="88"/>
      <c r="B68" s="88" t="s">
        <v>110</v>
      </c>
      <c r="C68" s="89">
        <f t="shared" si="4"/>
        <v>4749593.4117124937</v>
      </c>
      <c r="D68" s="89">
        <f t="shared" si="7"/>
        <v>47495.93411712494</v>
      </c>
      <c r="E68" s="89">
        <f t="shared" si="6"/>
        <v>160863.39803559557</v>
      </c>
      <c r="F68" s="89">
        <f t="shared" si="5"/>
        <v>208359.33215272051</v>
      </c>
      <c r="G68" s="89">
        <f t="shared" si="3"/>
        <v>4588730.0136768986</v>
      </c>
    </row>
    <row r="69" spans="1:9">
      <c r="A69" s="88"/>
      <c r="B69" s="88" t="s">
        <v>111</v>
      </c>
      <c r="C69" s="89">
        <f t="shared" si="4"/>
        <v>4588730.0136768986</v>
      </c>
      <c r="D69" s="89">
        <f t="shared" si="7"/>
        <v>45887.300136768987</v>
      </c>
      <c r="E69" s="89">
        <f t="shared" si="6"/>
        <v>162472.03201595152</v>
      </c>
      <c r="F69" s="89">
        <f t="shared" si="5"/>
        <v>208359.33215272051</v>
      </c>
      <c r="G69" s="89">
        <f t="shared" si="3"/>
        <v>4426257.9816609472</v>
      </c>
      <c r="H69" s="1"/>
      <c r="I69" s="1"/>
    </row>
    <row r="70" spans="1:9">
      <c r="A70" s="88" t="s">
        <v>16</v>
      </c>
      <c r="B70" s="88" t="s">
        <v>112</v>
      </c>
      <c r="C70" s="89">
        <f t="shared" si="4"/>
        <v>4426257.9816609472</v>
      </c>
      <c r="D70" s="89">
        <f t="shared" si="7"/>
        <v>44262.579816609468</v>
      </c>
      <c r="E70" s="89">
        <f t="shared" si="6"/>
        <v>164096.75233611104</v>
      </c>
      <c r="F70" s="89">
        <f t="shared" si="5"/>
        <v>208359.33215272051</v>
      </c>
      <c r="G70" s="89">
        <f t="shared" si="3"/>
        <v>4262161.2293248363</v>
      </c>
    </row>
    <row r="71" spans="1:9">
      <c r="A71" s="88"/>
      <c r="B71" s="88" t="s">
        <v>113</v>
      </c>
      <c r="C71" s="89">
        <f t="shared" si="4"/>
        <v>4262161.2293248363</v>
      </c>
      <c r="D71" s="89">
        <f t="shared" si="7"/>
        <v>42621.612293248363</v>
      </c>
      <c r="E71" s="89">
        <f t="shared" si="6"/>
        <v>165737.71985947216</v>
      </c>
      <c r="F71" s="89">
        <f t="shared" si="5"/>
        <v>208359.33215272051</v>
      </c>
      <c r="G71" s="89">
        <f t="shared" si="3"/>
        <v>4096423.5094653643</v>
      </c>
    </row>
    <row r="72" spans="1:9">
      <c r="A72" s="88"/>
      <c r="B72" s="88" t="s">
        <v>114</v>
      </c>
      <c r="C72" s="89">
        <f t="shared" si="4"/>
        <v>4096423.5094653643</v>
      </c>
      <c r="D72" s="89">
        <f t="shared" si="7"/>
        <v>40964.235094653639</v>
      </c>
      <c r="E72" s="89">
        <f t="shared" si="6"/>
        <v>167395.09705806687</v>
      </c>
      <c r="F72" s="89">
        <f t="shared" si="5"/>
        <v>208359.33215272051</v>
      </c>
      <c r="G72" s="89">
        <f t="shared" si="3"/>
        <v>3929028.4124072976</v>
      </c>
    </row>
    <row r="73" spans="1:9">
      <c r="A73" s="88"/>
      <c r="B73" s="88" t="s">
        <v>115</v>
      </c>
      <c r="C73" s="89">
        <f t="shared" si="4"/>
        <v>3929028.4124072976</v>
      </c>
      <c r="D73" s="89">
        <f t="shared" si="7"/>
        <v>39290.284124072976</v>
      </c>
      <c r="E73" s="89">
        <f t="shared" si="6"/>
        <v>169069.04802864755</v>
      </c>
      <c r="F73" s="89">
        <f t="shared" si="5"/>
        <v>208359.33215272051</v>
      </c>
      <c r="G73" s="89">
        <f t="shared" si="3"/>
        <v>3759959.3643786502</v>
      </c>
    </row>
    <row r="74" spans="1:9">
      <c r="A74" s="88"/>
      <c r="B74" s="88" t="s">
        <v>116</v>
      </c>
      <c r="C74" s="89">
        <f t="shared" si="4"/>
        <v>3759959.3643786502</v>
      </c>
      <c r="D74" s="89">
        <f t="shared" ref="D74:D93" si="8">C74*$D$5/12</f>
        <v>37599.593643786502</v>
      </c>
      <c r="E74" s="89">
        <f t="shared" si="6"/>
        <v>170759.73850893401</v>
      </c>
      <c r="F74" s="89">
        <f t="shared" si="5"/>
        <v>208359.33215272051</v>
      </c>
      <c r="G74" s="89">
        <f t="shared" si="3"/>
        <v>3589199.6258697161</v>
      </c>
    </row>
    <row r="75" spans="1:9">
      <c r="A75" s="88"/>
      <c r="B75" s="88" t="s">
        <v>117</v>
      </c>
      <c r="C75" s="89">
        <f t="shared" si="4"/>
        <v>3589199.6258697161</v>
      </c>
      <c r="D75" s="89">
        <f t="shared" si="8"/>
        <v>35891.99625869716</v>
      </c>
      <c r="E75" s="89">
        <f t="shared" si="6"/>
        <v>172467.33589402336</v>
      </c>
      <c r="F75" s="89">
        <f t="shared" ref="F75:F93" si="9">$D$8</f>
        <v>208359.33215272051</v>
      </c>
      <c r="G75" s="89">
        <f t="shared" ref="G75:G93" si="10">C75-E75</f>
        <v>3416732.2899756925</v>
      </c>
    </row>
    <row r="76" spans="1:9">
      <c r="A76" s="88"/>
      <c r="B76" s="88" t="s">
        <v>118</v>
      </c>
      <c r="C76" s="89">
        <f t="shared" ref="C76:C93" si="11">G75</f>
        <v>3416732.2899756925</v>
      </c>
      <c r="D76" s="89">
        <f t="shared" si="8"/>
        <v>34167.322899756924</v>
      </c>
      <c r="E76" s="89">
        <f t="shared" si="6"/>
        <v>174192.00925296359</v>
      </c>
      <c r="F76" s="89">
        <f t="shared" si="9"/>
        <v>208359.33215272051</v>
      </c>
      <c r="G76" s="89">
        <f t="shared" si="10"/>
        <v>3242540.2807227289</v>
      </c>
    </row>
    <row r="77" spans="1:9">
      <c r="A77" s="88"/>
      <c r="B77" s="88" t="s">
        <v>119</v>
      </c>
      <c r="C77" s="89">
        <f t="shared" si="11"/>
        <v>3242540.2807227289</v>
      </c>
      <c r="D77" s="89">
        <f t="shared" si="8"/>
        <v>32425.402807227289</v>
      </c>
      <c r="E77" s="89">
        <f t="shared" si="6"/>
        <v>175933.92934549323</v>
      </c>
      <c r="F77" s="89">
        <f t="shared" si="9"/>
        <v>208359.33215272051</v>
      </c>
      <c r="G77" s="89">
        <f t="shared" si="10"/>
        <v>3066606.3513772357</v>
      </c>
    </row>
    <row r="78" spans="1:9">
      <c r="A78" s="88"/>
      <c r="B78" s="88" t="s">
        <v>120</v>
      </c>
      <c r="C78" s="89">
        <f t="shared" si="11"/>
        <v>3066606.3513772357</v>
      </c>
      <c r="D78" s="89">
        <f t="shared" si="8"/>
        <v>30666.063513772358</v>
      </c>
      <c r="E78" s="89">
        <f t="shared" si="6"/>
        <v>177693.26863894815</v>
      </c>
      <c r="F78" s="89">
        <f t="shared" si="9"/>
        <v>208359.33215272051</v>
      </c>
      <c r="G78" s="89">
        <f t="shared" si="10"/>
        <v>2888913.0827382877</v>
      </c>
    </row>
    <row r="79" spans="1:9">
      <c r="A79" s="88"/>
      <c r="B79" s="88" t="s">
        <v>121</v>
      </c>
      <c r="C79" s="89">
        <f t="shared" si="11"/>
        <v>2888913.0827382877</v>
      </c>
      <c r="D79" s="89">
        <f t="shared" si="8"/>
        <v>28889.130827382876</v>
      </c>
      <c r="E79" s="89">
        <f t="shared" si="6"/>
        <v>179470.20132533764</v>
      </c>
      <c r="F79" s="89">
        <f t="shared" si="9"/>
        <v>208359.33215272051</v>
      </c>
      <c r="G79" s="89">
        <f t="shared" si="10"/>
        <v>2709442.8814129503</v>
      </c>
    </row>
    <row r="80" spans="1:9">
      <c r="A80" s="88"/>
      <c r="B80" s="88" t="s">
        <v>122</v>
      </c>
      <c r="C80" s="89">
        <f t="shared" si="11"/>
        <v>2709442.8814129503</v>
      </c>
      <c r="D80" s="89">
        <f t="shared" si="8"/>
        <v>27094.4288141295</v>
      </c>
      <c r="E80" s="89">
        <f t="shared" si="6"/>
        <v>181264.90333859102</v>
      </c>
      <c r="F80" s="89">
        <f t="shared" si="9"/>
        <v>208359.33215272051</v>
      </c>
      <c r="G80" s="89">
        <f t="shared" si="10"/>
        <v>2528177.9780743592</v>
      </c>
    </row>
    <row r="81" spans="1:9">
      <c r="A81" s="88"/>
      <c r="B81" s="88" t="s">
        <v>123</v>
      </c>
      <c r="C81" s="89">
        <f t="shared" si="11"/>
        <v>2528177.9780743592</v>
      </c>
      <c r="D81" s="89">
        <f t="shared" si="8"/>
        <v>25281.779780743589</v>
      </c>
      <c r="E81" s="89">
        <f t="shared" ref="E81:E93" si="12">F81-D81</f>
        <v>183077.55237197693</v>
      </c>
      <c r="F81" s="89">
        <f t="shared" si="9"/>
        <v>208359.33215272051</v>
      </c>
      <c r="G81" s="89">
        <f t="shared" si="10"/>
        <v>2345100.4257023823</v>
      </c>
      <c r="H81" s="1"/>
      <c r="I81" s="1"/>
    </row>
    <row r="82" spans="1:9">
      <c r="A82" s="88" t="s">
        <v>283</v>
      </c>
      <c r="B82" s="88" t="s">
        <v>218</v>
      </c>
      <c r="C82" s="89">
        <f t="shared" si="11"/>
        <v>2345100.4257023823</v>
      </c>
      <c r="D82" s="89">
        <f t="shared" si="8"/>
        <v>23451.004257023826</v>
      </c>
      <c r="E82" s="89">
        <f t="shared" si="12"/>
        <v>184908.32789569668</v>
      </c>
      <c r="F82" s="89">
        <f t="shared" si="9"/>
        <v>208359.33215272051</v>
      </c>
      <c r="G82" s="89">
        <f t="shared" si="10"/>
        <v>2160192.0978066856</v>
      </c>
    </row>
    <row r="83" spans="1:9">
      <c r="A83" s="88"/>
      <c r="B83" s="88" t="s">
        <v>219</v>
      </c>
      <c r="C83" s="89">
        <f t="shared" si="11"/>
        <v>2160192.0978066856</v>
      </c>
      <c r="D83" s="89">
        <f t="shared" si="8"/>
        <v>21601.920978066857</v>
      </c>
      <c r="E83" s="89">
        <f t="shared" si="12"/>
        <v>186757.41117465365</v>
      </c>
      <c r="F83" s="89">
        <f t="shared" si="9"/>
        <v>208359.33215272051</v>
      </c>
      <c r="G83" s="89">
        <f t="shared" si="10"/>
        <v>1973434.686632032</v>
      </c>
    </row>
    <row r="84" spans="1:9">
      <c r="A84" s="88"/>
      <c r="B84" s="88" t="s">
        <v>220</v>
      </c>
      <c r="C84" s="89">
        <f t="shared" si="11"/>
        <v>1973434.686632032</v>
      </c>
      <c r="D84" s="89">
        <f t="shared" si="8"/>
        <v>19734.34686632032</v>
      </c>
      <c r="E84" s="89">
        <f t="shared" si="12"/>
        <v>188624.98528640019</v>
      </c>
      <c r="F84" s="89">
        <f t="shared" si="9"/>
        <v>208359.33215272051</v>
      </c>
      <c r="G84" s="89">
        <f t="shared" si="10"/>
        <v>1784809.7013456319</v>
      </c>
    </row>
    <row r="85" spans="1:9">
      <c r="A85" s="88"/>
      <c r="B85" s="88" t="s">
        <v>221</v>
      </c>
      <c r="C85" s="89">
        <f t="shared" si="11"/>
        <v>1784809.7013456319</v>
      </c>
      <c r="D85" s="89">
        <f t="shared" si="8"/>
        <v>17848.097013456318</v>
      </c>
      <c r="E85" s="89">
        <f t="shared" si="12"/>
        <v>190511.2351392642</v>
      </c>
      <c r="F85" s="89">
        <f t="shared" si="9"/>
        <v>208359.33215272051</v>
      </c>
      <c r="G85" s="89">
        <f t="shared" si="10"/>
        <v>1594298.4662063676</v>
      </c>
    </row>
    <row r="86" spans="1:9">
      <c r="A86" s="88"/>
      <c r="B86" s="88" t="s">
        <v>222</v>
      </c>
      <c r="C86" s="89">
        <f t="shared" si="11"/>
        <v>1594298.4662063676</v>
      </c>
      <c r="D86" s="89">
        <f t="shared" si="8"/>
        <v>15942.984662063674</v>
      </c>
      <c r="E86" s="89">
        <f t="shared" si="12"/>
        <v>192416.34749065683</v>
      </c>
      <c r="F86" s="89">
        <f t="shared" si="9"/>
        <v>208359.33215272051</v>
      </c>
      <c r="G86" s="89">
        <f t="shared" si="10"/>
        <v>1401882.1187157107</v>
      </c>
    </row>
    <row r="87" spans="1:9">
      <c r="A87" s="88"/>
      <c r="B87" s="88" t="s">
        <v>223</v>
      </c>
      <c r="C87" s="89">
        <f t="shared" si="11"/>
        <v>1401882.1187157107</v>
      </c>
      <c r="D87" s="89">
        <f t="shared" si="8"/>
        <v>14018.821187157106</v>
      </c>
      <c r="E87" s="89">
        <f t="shared" si="12"/>
        <v>194340.51096556342</v>
      </c>
      <c r="F87" s="89">
        <f t="shared" si="9"/>
        <v>208359.33215272051</v>
      </c>
      <c r="G87" s="89">
        <f t="shared" si="10"/>
        <v>1207541.6077501473</v>
      </c>
    </row>
    <row r="88" spans="1:9">
      <c r="A88" s="88"/>
      <c r="B88" s="88" t="s">
        <v>224</v>
      </c>
      <c r="C88" s="89">
        <f t="shared" si="11"/>
        <v>1207541.6077501473</v>
      </c>
      <c r="D88" s="89">
        <f t="shared" si="8"/>
        <v>12075.416077501473</v>
      </c>
      <c r="E88" s="89">
        <f t="shared" si="12"/>
        <v>196283.91607521905</v>
      </c>
      <c r="F88" s="89">
        <f t="shared" si="9"/>
        <v>208359.33215272051</v>
      </c>
      <c r="G88" s="89">
        <f t="shared" si="10"/>
        <v>1011257.6916749283</v>
      </c>
    </row>
    <row r="89" spans="1:9">
      <c r="A89" s="88"/>
      <c r="B89" s="88" t="s">
        <v>225</v>
      </c>
      <c r="C89" s="89">
        <f t="shared" si="11"/>
        <v>1011257.6916749283</v>
      </c>
      <c r="D89" s="89">
        <f t="shared" si="8"/>
        <v>10112.576916749282</v>
      </c>
      <c r="E89" s="89">
        <f t="shared" si="12"/>
        <v>198246.75523597124</v>
      </c>
      <c r="F89" s="89">
        <f t="shared" si="9"/>
        <v>208359.33215272051</v>
      </c>
      <c r="G89" s="89">
        <f t="shared" si="10"/>
        <v>813010.936438957</v>
      </c>
    </row>
    <row r="90" spans="1:9">
      <c r="A90" s="88"/>
      <c r="B90" s="88" t="s">
        <v>226</v>
      </c>
      <c r="C90" s="89">
        <f t="shared" si="11"/>
        <v>813010.936438957</v>
      </c>
      <c r="D90" s="89">
        <f t="shared" si="8"/>
        <v>8130.1093643895692</v>
      </c>
      <c r="E90" s="89">
        <f t="shared" si="12"/>
        <v>200229.22278833095</v>
      </c>
      <c r="F90" s="89">
        <f t="shared" si="9"/>
        <v>208359.33215272051</v>
      </c>
      <c r="G90" s="89">
        <f t="shared" si="10"/>
        <v>612781.71365062601</v>
      </c>
    </row>
    <row r="91" spans="1:9">
      <c r="A91" s="88"/>
      <c r="B91" s="88" t="s">
        <v>227</v>
      </c>
      <c r="C91" s="89">
        <f t="shared" si="11"/>
        <v>612781.71365062601</v>
      </c>
      <c r="D91" s="89">
        <f t="shared" si="8"/>
        <v>6127.8171365062599</v>
      </c>
      <c r="E91" s="89">
        <f t="shared" si="12"/>
        <v>202231.51501621425</v>
      </c>
      <c r="F91" s="89">
        <f t="shared" si="9"/>
        <v>208359.33215272051</v>
      </c>
      <c r="G91" s="89">
        <f t="shared" si="10"/>
        <v>410550.19863441179</v>
      </c>
    </row>
    <row r="92" spans="1:9">
      <c r="A92" s="88"/>
      <c r="B92" s="88" t="s">
        <v>228</v>
      </c>
      <c r="C92" s="89">
        <f t="shared" si="11"/>
        <v>410550.19863441179</v>
      </c>
      <c r="D92" s="89">
        <f t="shared" si="8"/>
        <v>4105.5019863441175</v>
      </c>
      <c r="E92" s="89">
        <f t="shared" si="12"/>
        <v>204253.8301663764</v>
      </c>
      <c r="F92" s="89">
        <f t="shared" si="9"/>
        <v>208359.33215272051</v>
      </c>
      <c r="G92" s="89">
        <f t="shared" si="10"/>
        <v>206296.36846803539</v>
      </c>
    </row>
    <row r="93" spans="1:9">
      <c r="A93" s="88"/>
      <c r="B93" s="88" t="s">
        <v>229</v>
      </c>
      <c r="C93" s="89">
        <f t="shared" si="11"/>
        <v>206296.36846803539</v>
      </c>
      <c r="D93" s="89">
        <f t="shared" si="8"/>
        <v>2062.9636846803537</v>
      </c>
      <c r="E93" s="89">
        <f t="shared" si="12"/>
        <v>206296.36846804016</v>
      </c>
      <c r="F93" s="89">
        <f t="shared" si="9"/>
        <v>208359.33215272051</v>
      </c>
      <c r="G93" s="89">
        <f t="shared" si="10"/>
        <v>-4.7730281949043274E-9</v>
      </c>
    </row>
    <row r="94" spans="1:9">
      <c r="A94" s="87"/>
      <c r="B94" s="87"/>
      <c r="C94" s="87"/>
      <c r="D94" s="96">
        <f>SUM(D10:D93)</f>
        <v>5679339.5972721986</v>
      </c>
      <c r="E94" s="96">
        <f>SUM(E10:E93)</f>
        <v>11247540.756000001</v>
      </c>
      <c r="F94" s="87"/>
      <c r="G94" s="87"/>
    </row>
    <row r="95" spans="1:9" ht="40" customHeight="1">
      <c r="A95" s="435" t="s">
        <v>429</v>
      </c>
      <c r="B95" s="435"/>
      <c r="C95" s="435"/>
      <c r="D95" s="435"/>
      <c r="E95" s="435"/>
      <c r="F95" s="435"/>
      <c r="G95" s="435"/>
      <c r="H95" s="435"/>
    </row>
    <row r="96" spans="1:9">
      <c r="A96" t="s">
        <v>555</v>
      </c>
    </row>
    <row r="97" spans="1:2">
      <c r="A97">
        <v>1</v>
      </c>
      <c r="B97" t="s">
        <v>556</v>
      </c>
    </row>
    <row r="98" spans="1:2">
      <c r="A98">
        <v>2</v>
      </c>
      <c r="B98" t="s">
        <v>557</v>
      </c>
    </row>
  </sheetData>
  <mergeCells count="2">
    <mergeCell ref="A2:G2"/>
    <mergeCell ref="A95:H95"/>
  </mergeCells>
  <pageMargins left="0.7" right="0.7"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C40" zoomScale="80" zoomScaleNormal="100" zoomScaleSheetLayoutView="80" workbookViewId="0">
      <selection activeCell="F55" sqref="F55"/>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416" t="s">
        <v>580</v>
      </c>
      <c r="D2" s="416"/>
      <c r="E2" s="416"/>
      <c r="F2" s="416"/>
      <c r="G2" s="416"/>
      <c r="H2" s="416"/>
      <c r="I2" s="416"/>
      <c r="J2" s="416"/>
      <c r="K2" s="416"/>
      <c r="L2" s="203"/>
    </row>
    <row r="4" spans="3:22">
      <c r="C4" s="75" t="s">
        <v>0</v>
      </c>
      <c r="D4" s="75"/>
      <c r="E4" s="76" t="s">
        <v>2</v>
      </c>
      <c r="F4" s="76" t="s">
        <v>3</v>
      </c>
      <c r="G4" s="76" t="s">
        <v>4</v>
      </c>
      <c r="H4" s="76" t="s">
        <v>5</v>
      </c>
      <c r="I4" s="76" t="s">
        <v>6</v>
      </c>
      <c r="J4" s="76" t="s">
        <v>171</v>
      </c>
      <c r="K4" s="76" t="s">
        <v>170</v>
      </c>
      <c r="L4" s="87"/>
      <c r="M4" s="87"/>
      <c r="N4" s="223"/>
      <c r="O4" s="223"/>
      <c r="P4" s="223"/>
      <c r="Q4" s="223"/>
      <c r="R4" s="223"/>
      <c r="S4" s="223"/>
      <c r="T4" s="223"/>
      <c r="U4" s="223"/>
      <c r="V4" s="223"/>
    </row>
    <row r="5" spans="3:22">
      <c r="C5" s="88" t="s">
        <v>376</v>
      </c>
      <c r="D5" s="88"/>
      <c r="E5" s="88"/>
      <c r="F5" s="88"/>
      <c r="G5" s="88"/>
      <c r="H5" s="88"/>
      <c r="I5" s="88"/>
      <c r="J5" s="88"/>
      <c r="K5" s="88"/>
      <c r="L5" s="87"/>
      <c r="M5" s="87"/>
      <c r="N5" s="446" t="s">
        <v>551</v>
      </c>
      <c r="O5" s="446"/>
      <c r="P5" s="446"/>
      <c r="Q5" s="446"/>
      <c r="R5" s="446"/>
      <c r="S5" s="223"/>
      <c r="T5" s="223"/>
      <c r="U5" s="446" t="s">
        <v>552</v>
      </c>
      <c r="V5" s="446"/>
    </row>
    <row r="6" spans="3:22">
      <c r="C6" s="88" t="s">
        <v>377</v>
      </c>
      <c r="D6" s="183"/>
      <c r="E6" s="88"/>
      <c r="F6" s="89">
        <f t="shared" ref="F6:K9" si="0">E15</f>
        <v>0</v>
      </c>
      <c r="G6" s="89">
        <f t="shared" si="0"/>
        <v>0</v>
      </c>
      <c r="H6" s="89">
        <f t="shared" si="0"/>
        <v>0</v>
      </c>
      <c r="I6" s="89">
        <f t="shared" si="0"/>
        <v>0</v>
      </c>
      <c r="J6" s="89">
        <f t="shared" si="0"/>
        <v>0</v>
      </c>
      <c r="K6" s="89">
        <f t="shared" si="0"/>
        <v>0</v>
      </c>
      <c r="L6" s="87"/>
      <c r="M6" s="87"/>
      <c r="N6" s="445" t="s">
        <v>553</v>
      </c>
      <c r="O6" s="445"/>
      <c r="P6" s="445"/>
      <c r="Q6" s="445"/>
      <c r="R6" s="445"/>
      <c r="S6" s="223"/>
      <c r="T6" s="223"/>
      <c r="U6" s="445" t="s">
        <v>553</v>
      </c>
      <c r="V6" s="445"/>
    </row>
    <row r="7" spans="3:22">
      <c r="C7" s="88" t="s">
        <v>467</v>
      </c>
      <c r="D7" s="183"/>
      <c r="E7" s="88"/>
      <c r="F7" s="89">
        <f t="shared" si="0"/>
        <v>0</v>
      </c>
      <c r="G7" s="89">
        <f t="shared" si="0"/>
        <v>0</v>
      </c>
      <c r="H7" s="89">
        <f t="shared" si="0"/>
        <v>0</v>
      </c>
      <c r="I7" s="89">
        <f t="shared" si="0"/>
        <v>0</v>
      </c>
      <c r="J7" s="89">
        <f t="shared" si="0"/>
        <v>0</v>
      </c>
      <c r="K7" s="89">
        <f t="shared" si="0"/>
        <v>0</v>
      </c>
      <c r="L7" s="87"/>
      <c r="M7" s="87"/>
      <c r="N7" s="224" t="s">
        <v>0</v>
      </c>
      <c r="O7" s="224" t="s">
        <v>165</v>
      </c>
      <c r="P7" s="224" t="s">
        <v>166</v>
      </c>
      <c r="Q7" s="224" t="s">
        <v>320</v>
      </c>
      <c r="R7" s="224" t="s">
        <v>321</v>
      </c>
      <c r="S7" s="223"/>
      <c r="T7" s="223"/>
      <c r="U7" s="310" t="s">
        <v>0</v>
      </c>
      <c r="V7" s="310" t="s">
        <v>508</v>
      </c>
    </row>
    <row r="8" spans="3:22">
      <c r="C8" s="88" t="s">
        <v>570</v>
      </c>
      <c r="D8" s="183"/>
      <c r="E8" s="88"/>
      <c r="F8" s="89">
        <f t="shared" si="0"/>
        <v>3036078.5035890904</v>
      </c>
      <c r="G8" s="89">
        <f t="shared" si="0"/>
        <v>3278964.7838762179</v>
      </c>
      <c r="H8" s="89">
        <f t="shared" si="0"/>
        <v>3538549.4959330857</v>
      </c>
      <c r="I8" s="89">
        <f t="shared" si="0"/>
        <v>3815895.2672359496</v>
      </c>
      <c r="J8" s="89">
        <f t="shared" si="0"/>
        <v>4112129.2419292675</v>
      </c>
      <c r="K8" s="89">
        <f t="shared" si="0"/>
        <v>4428446.8759238264</v>
      </c>
      <c r="L8" s="87"/>
      <c r="M8" s="87"/>
      <c r="N8" s="225" t="s">
        <v>378</v>
      </c>
      <c r="O8" s="225">
        <f>'13.Facility 2 Grain Processing'!C152</f>
        <v>5400</v>
      </c>
      <c r="P8" s="225">
        <f>'13.Facility 2 Grain Processing'!C153</f>
        <v>7500</v>
      </c>
      <c r="Q8" s="225">
        <f>'13.Facility 2 Grain Processing'!C154</f>
        <v>7400</v>
      </c>
      <c r="R8" s="225">
        <f>'13.Facility 2 Grain Processing'!C155</f>
        <v>7400</v>
      </c>
      <c r="S8" s="223"/>
      <c r="T8" s="223"/>
      <c r="U8" s="225" t="s">
        <v>351</v>
      </c>
      <c r="V8" s="225">
        <f>'17.Facility 6 Horti Processing '!C163</f>
        <v>6000</v>
      </c>
    </row>
    <row r="9" spans="3:22">
      <c r="C9" s="88" t="str">
        <f>C18</f>
        <v xml:space="preserve">Horticulture Processing </v>
      </c>
      <c r="D9" s="88"/>
      <c r="E9" s="88"/>
      <c r="F9" s="89">
        <f>E18</f>
        <v>0</v>
      </c>
      <c r="G9" s="89">
        <f t="shared" si="0"/>
        <v>0</v>
      </c>
      <c r="H9" s="89">
        <f t="shared" si="0"/>
        <v>0</v>
      </c>
      <c r="I9" s="89">
        <f t="shared" si="0"/>
        <v>0</v>
      </c>
      <c r="J9" s="89">
        <f t="shared" si="0"/>
        <v>0</v>
      </c>
      <c r="K9" s="89">
        <f t="shared" si="0"/>
        <v>0</v>
      </c>
      <c r="L9" s="87"/>
      <c r="M9" s="87"/>
      <c r="N9" s="225" t="str">
        <f>'13.Facility 2 Grain Processing'!A156</f>
        <v>Oil (Liters)</v>
      </c>
      <c r="O9" s="225">
        <f>('13.Facility 2 Grain Processing'!B156*'13.Facility 2 Grain Processing'!C156/1000)*100</f>
        <v>20</v>
      </c>
      <c r="P9" s="225">
        <f t="shared" ref="P9:R13" si="1">O9</f>
        <v>20</v>
      </c>
      <c r="Q9" s="225">
        <f t="shared" si="1"/>
        <v>20</v>
      </c>
      <c r="R9" s="225">
        <f t="shared" si="1"/>
        <v>20</v>
      </c>
      <c r="S9" s="223"/>
      <c r="T9" s="223"/>
      <c r="U9" s="225" t="str">
        <f>'17.Facility 6 Horti Processing '!A164</f>
        <v>Other Consumbales</v>
      </c>
      <c r="V9" s="226">
        <f>'17.Facility 6 Horti Processing '!C164</f>
        <v>2000</v>
      </c>
    </row>
    <row r="10" spans="3:22">
      <c r="C10" s="88"/>
      <c r="D10" s="88"/>
      <c r="E10" s="88"/>
      <c r="F10" s="89"/>
      <c r="G10" s="89"/>
      <c r="H10" s="89"/>
      <c r="I10" s="89"/>
      <c r="J10" s="89"/>
      <c r="K10" s="89"/>
      <c r="L10" s="87"/>
      <c r="M10" s="87"/>
      <c r="N10" s="225" t="str">
        <f>'13.Facility 2 Grain Processing'!A157</f>
        <v xml:space="preserve">Daily Labour </v>
      </c>
      <c r="O10" s="227">
        <f>('13.Facility 2 Grain Processing'!B157*'13.Facility 2 Grain Processing'!C157)/('13.Facility 2 Grain Processing'!B5*'13.Facility 2 Grain Processing'!B6)</f>
        <v>27.272727272727273</v>
      </c>
      <c r="P10" s="227">
        <f t="shared" si="1"/>
        <v>27.272727272727273</v>
      </c>
      <c r="Q10" s="227">
        <f t="shared" si="1"/>
        <v>27.272727272727273</v>
      </c>
      <c r="R10" s="227">
        <f t="shared" si="1"/>
        <v>27.272727272727273</v>
      </c>
      <c r="S10" s="223"/>
      <c r="T10" s="223"/>
      <c r="U10" s="225" t="str">
        <f>'17.Facility 6 Horti Processing '!A165</f>
        <v xml:space="preserve">Daily Labour </v>
      </c>
      <c r="V10" s="226">
        <f>'17.Facility 6 Horti Processing '!B165*'17.Facility 6 Horti Processing '!C165/('17.Facility 6 Horti Processing '!B5*'17.Facility 6 Horti Processing '!B6)</f>
        <v>187.5</v>
      </c>
    </row>
    <row r="11" spans="3:22">
      <c r="C11" s="88"/>
      <c r="D11" s="88"/>
      <c r="E11" s="88"/>
      <c r="F11" s="89"/>
      <c r="G11" s="89"/>
      <c r="H11" s="89"/>
      <c r="I11" s="89"/>
      <c r="J11" s="89"/>
      <c r="K11" s="89"/>
      <c r="L11" s="87"/>
      <c r="M11" s="87"/>
      <c r="N11" s="225" t="str">
        <f>'13.Facility 2 Grain Processing'!A158</f>
        <v>Electricity Charges</v>
      </c>
      <c r="O11" s="227">
        <f>('13.Facility 2 Grain Processing'!B158*'13.Facility 2 Grain Processing'!C158)/('13.Facility 2 Grain Processing'!B5*'13.Facility 2 Grain Processing'!B6)</f>
        <v>182.024</v>
      </c>
      <c r="P11" s="227">
        <f t="shared" si="1"/>
        <v>182.024</v>
      </c>
      <c r="Q11" s="227">
        <f t="shared" si="1"/>
        <v>182.024</v>
      </c>
      <c r="R11" s="227">
        <f t="shared" si="1"/>
        <v>182.024</v>
      </c>
      <c r="S11" s="223"/>
      <c r="T11" s="223"/>
      <c r="U11" s="225" t="str">
        <f>'17.Facility 6 Horti Processing '!A166</f>
        <v>Electricity Charges</v>
      </c>
      <c r="V11" s="225">
        <f>'17.Facility 6 Horti Processing '!B166*'17.Facility 6 Horti Processing '!C166/('17.Facility 6 Horti Processing '!B5*'17.Facility 6 Horti Processing '!B6)</f>
        <v>0</v>
      </c>
    </row>
    <row r="12" spans="3:22">
      <c r="C12" s="88" t="s">
        <v>1</v>
      </c>
      <c r="D12" s="88"/>
      <c r="E12" s="89"/>
      <c r="F12" s="89">
        <f t="shared" ref="F12:K12" si="2">SUM(F6:F11)</f>
        <v>3036078.5035890904</v>
      </c>
      <c r="G12" s="89">
        <f t="shared" si="2"/>
        <v>3278964.7838762179</v>
      </c>
      <c r="H12" s="89">
        <f t="shared" si="2"/>
        <v>3538549.4959330857</v>
      </c>
      <c r="I12" s="89">
        <f t="shared" si="2"/>
        <v>3815895.2672359496</v>
      </c>
      <c r="J12" s="89">
        <f t="shared" si="2"/>
        <v>4112129.2419292675</v>
      </c>
      <c r="K12" s="89">
        <f t="shared" si="2"/>
        <v>4428446.8759238264</v>
      </c>
      <c r="L12" s="87"/>
      <c r="M12" s="87"/>
      <c r="N12" s="225" t="str">
        <f>'13.Facility 2 Grain Processing'!A159</f>
        <v>Loading/Unloading Charges</v>
      </c>
      <c r="O12" s="225">
        <f>'13.Facility 2 Grain Processing'!C159*2</f>
        <v>30</v>
      </c>
      <c r="P12" s="225">
        <f t="shared" si="1"/>
        <v>30</v>
      </c>
      <c r="Q12" s="225">
        <f t="shared" si="1"/>
        <v>30</v>
      </c>
      <c r="R12" s="225">
        <f t="shared" si="1"/>
        <v>30</v>
      </c>
      <c r="S12" s="223"/>
      <c r="T12" s="223"/>
      <c r="U12" s="225" t="str">
        <f>'17.Facility 6 Horti Processing '!A167</f>
        <v>Loading/Unloading Charges</v>
      </c>
      <c r="V12" s="225">
        <f>'17.Facility 6 Horti Processing '!C167</f>
        <v>10</v>
      </c>
    </row>
    <row r="13" spans="3:22">
      <c r="C13" s="88"/>
      <c r="D13" s="88"/>
      <c r="E13" s="88"/>
      <c r="F13" s="89"/>
      <c r="G13" s="89"/>
      <c r="H13" s="89"/>
      <c r="I13" s="89"/>
      <c r="J13" s="89"/>
      <c r="K13" s="89"/>
      <c r="L13" s="87"/>
      <c r="M13" s="87"/>
      <c r="N13" s="225" t="str">
        <f>'13.Facility 2 Grain Processing'!A160</f>
        <v>packaging Exp</v>
      </c>
      <c r="O13" s="225">
        <f>'13.Facility 2 Grain Processing'!C160*2</f>
        <v>40</v>
      </c>
      <c r="P13" s="225">
        <f t="shared" si="1"/>
        <v>40</v>
      </c>
      <c r="Q13" s="225">
        <f t="shared" si="1"/>
        <v>40</v>
      </c>
      <c r="R13" s="225">
        <f t="shared" si="1"/>
        <v>40</v>
      </c>
      <c r="S13" s="223"/>
      <c r="T13" s="223"/>
      <c r="U13" s="225" t="str">
        <f>'17.Facility 6 Horti Processing '!A168</f>
        <v>packaging Exp</v>
      </c>
      <c r="V13" s="10">
        <f>'17.Facility 6 Horti Processing '!C168*100</f>
        <v>200</v>
      </c>
    </row>
    <row r="14" spans="3:22">
      <c r="C14" s="90" t="s">
        <v>353</v>
      </c>
      <c r="D14" s="88"/>
      <c r="E14" s="88"/>
      <c r="F14" s="89"/>
      <c r="G14" s="89"/>
      <c r="H14" s="89"/>
      <c r="I14" s="89"/>
      <c r="J14" s="89"/>
      <c r="K14" s="89"/>
      <c r="L14" s="87"/>
      <c r="M14" s="87"/>
      <c r="N14" s="225"/>
      <c r="O14" s="10"/>
      <c r="P14" s="10"/>
      <c r="Q14" s="10"/>
      <c r="R14" s="10"/>
      <c r="S14" s="223"/>
      <c r="T14" s="223"/>
      <c r="U14" s="10"/>
      <c r="V14" s="10"/>
    </row>
    <row r="15" spans="3:22">
      <c r="C15" s="88" t="str">
        <f>C6</f>
        <v>Agri Input</v>
      </c>
      <c r="D15" s="249">
        <v>0.05</v>
      </c>
      <c r="E15" s="89">
        <f>SUM('16.Facility 5 Agri Input'!D197:D252)*$D$15</f>
        <v>0</v>
      </c>
      <c r="F15" s="89">
        <f>SUM('16.Facility 5 Agri Input'!E197:E252)*$D$15</f>
        <v>0</v>
      </c>
      <c r="G15" s="89">
        <f>SUM('16.Facility 5 Agri Input'!F197:F252)*$D$15</f>
        <v>0</v>
      </c>
      <c r="H15" s="89">
        <f>SUM('16.Facility 5 Agri Input'!G197:G252)*$D$15</f>
        <v>0</v>
      </c>
      <c r="I15" s="89">
        <f>SUM('16.Facility 5 Agri Input'!H197:H252)*$D$15</f>
        <v>0</v>
      </c>
      <c r="J15" s="89">
        <f>SUM('16.Facility 5 Agri Input'!I197:I252)*$D$15</f>
        <v>0</v>
      </c>
      <c r="K15" s="89">
        <f>SUM('16.Facility 5 Agri Input'!J197:J252)*$D$15</f>
        <v>0</v>
      </c>
      <c r="L15" s="87"/>
      <c r="M15" s="87"/>
      <c r="N15" s="10"/>
      <c r="O15" s="10"/>
      <c r="P15" s="10"/>
      <c r="Q15" s="10"/>
      <c r="R15" s="10"/>
      <c r="U15" s="10"/>
      <c r="V15" s="10"/>
    </row>
    <row r="16" spans="3:22">
      <c r="C16" s="88" t="str">
        <f>C7</f>
        <v>Trading</v>
      </c>
      <c r="D16" s="249">
        <v>0.05</v>
      </c>
      <c r="E16" s="89">
        <f>SUM('12.Facility 1 - Trading'!D233:D284)*$D$16</f>
        <v>0</v>
      </c>
      <c r="F16" s="89">
        <f>SUM('12.Facility 1 - Trading'!E233:E284)*$D$16</f>
        <v>0</v>
      </c>
      <c r="G16" s="89">
        <f>SUM('12.Facility 1 - Trading'!F233:F284)*$D$16</f>
        <v>0</v>
      </c>
      <c r="H16" s="89">
        <f>SUM('12.Facility 1 - Trading'!G233:G284)*$D$16</f>
        <v>0</v>
      </c>
      <c r="I16" s="89">
        <f>SUM('12.Facility 1 - Trading'!H233:H284)*$D$16</f>
        <v>0</v>
      </c>
      <c r="J16" s="89">
        <f>SUM('12.Facility 1 - Trading'!I233:I284)*$D$16</f>
        <v>0</v>
      </c>
      <c r="K16" s="89">
        <f>SUM('12.Facility 1 - Trading'!J233:J284)*$D$16</f>
        <v>0</v>
      </c>
      <c r="L16" s="87"/>
      <c r="M16" s="87"/>
      <c r="N16" s="224" t="s">
        <v>379</v>
      </c>
      <c r="O16" s="228">
        <f>SUM(O8:O13)</f>
        <v>5699.2967272727274</v>
      </c>
      <c r="P16" s="228">
        <f>SUM(P8:P13)</f>
        <v>7799.2967272727274</v>
      </c>
      <c r="Q16" s="228">
        <f>SUM(Q8:Q13)</f>
        <v>7699.2967272727274</v>
      </c>
      <c r="R16" s="228">
        <f>SUM(R8:R13)</f>
        <v>7699.2967272727274</v>
      </c>
      <c r="U16" s="224" t="s">
        <v>1</v>
      </c>
      <c r="V16" s="228">
        <f>SUM(V8:V15)</f>
        <v>8397.5</v>
      </c>
    </row>
    <row r="17" spans="1:18">
      <c r="C17" s="88" t="str">
        <f>C8</f>
        <v xml:space="preserve">Grain Processing </v>
      </c>
      <c r="D17" s="249">
        <v>0.05</v>
      </c>
      <c r="E17" s="89">
        <f>SUM('13.Facility 2 Grain Processing'!D152:D160)*$D$17</f>
        <v>3036078.5035890904</v>
      </c>
      <c r="F17" s="89">
        <f>SUM('13.Facility 2 Grain Processing'!E152:E160)*$D$17</f>
        <v>3278964.7838762179</v>
      </c>
      <c r="G17" s="89">
        <f>SUM('13.Facility 2 Grain Processing'!F152:F160)*$D$17</f>
        <v>3538549.4959330857</v>
      </c>
      <c r="H17" s="89">
        <f>SUM('13.Facility 2 Grain Processing'!G152:G160)*$D$17</f>
        <v>3815895.2672359496</v>
      </c>
      <c r="I17" s="89">
        <f>SUM('13.Facility 2 Grain Processing'!H152:H160)*$D$17</f>
        <v>4112129.2419292675</v>
      </c>
      <c r="J17" s="89">
        <f>SUM('13.Facility 2 Grain Processing'!I152:I160)*$D$17</f>
        <v>4428446.8759238264</v>
      </c>
      <c r="K17" s="89">
        <f>SUM('13.Facility 2 Grain Processing'!J152:J160)*$D$17</f>
        <v>4766115.9502130179</v>
      </c>
      <c r="L17" s="87"/>
      <c r="M17" s="87"/>
    </row>
    <row r="18" spans="1:18">
      <c r="C18" s="88" t="s">
        <v>538</v>
      </c>
      <c r="D18" s="249">
        <v>0.05</v>
      </c>
      <c r="E18" s="89">
        <f>SUM('17.Facility 6 Horti Processing '!D163:D168)*$D$18</f>
        <v>0</v>
      </c>
      <c r="F18" s="89">
        <f>SUM('17.Facility 6 Horti Processing '!E163:E168)*$D$18</f>
        <v>0</v>
      </c>
      <c r="G18" s="89">
        <f>SUM('17.Facility 6 Horti Processing '!F163:F168)*$D$18</f>
        <v>0</v>
      </c>
      <c r="H18" s="89">
        <f>SUM('17.Facility 6 Horti Processing '!G163:G168)*$D$18</f>
        <v>0</v>
      </c>
      <c r="I18" s="89">
        <f>SUM('17.Facility 6 Horti Processing '!H163:H168)*$D$18</f>
        <v>0</v>
      </c>
      <c r="J18" s="89">
        <f>SUM('17.Facility 6 Horti Processing '!I163:I168)*$D$18</f>
        <v>0</v>
      </c>
      <c r="K18" s="89">
        <f>SUM('17.Facility 6 Horti Processing '!J163:J168)*$D$18</f>
        <v>0</v>
      </c>
      <c r="L18" s="87"/>
      <c r="M18" s="87"/>
    </row>
    <row r="19" spans="1:18">
      <c r="C19" s="88"/>
      <c r="D19" s="221"/>
      <c r="E19" s="89"/>
      <c r="F19" s="89"/>
      <c r="G19" s="89"/>
      <c r="H19" s="89"/>
      <c r="I19" s="89"/>
      <c r="J19" s="89"/>
      <c r="K19" s="89"/>
      <c r="L19" s="87"/>
      <c r="M19" s="87"/>
    </row>
    <row r="20" spans="1:18">
      <c r="C20" s="88"/>
      <c r="D20" s="88"/>
      <c r="E20" s="88"/>
      <c r="F20" s="89"/>
      <c r="G20" s="89"/>
      <c r="H20" s="89"/>
      <c r="I20" s="89"/>
      <c r="J20" s="89"/>
      <c r="K20" s="89"/>
      <c r="L20" s="87"/>
      <c r="M20" s="87"/>
    </row>
    <row r="21" spans="1:18">
      <c r="C21" s="88" t="s">
        <v>1</v>
      </c>
      <c r="D21" s="88"/>
      <c r="E21" s="196">
        <f t="shared" ref="E21:K21" si="3">SUM(E15:E20)</f>
        <v>3036078.5035890904</v>
      </c>
      <c r="F21" s="89">
        <f t="shared" si="3"/>
        <v>3278964.7838762179</v>
      </c>
      <c r="G21" s="89">
        <f t="shared" si="3"/>
        <v>3538549.4959330857</v>
      </c>
      <c r="H21" s="89">
        <f t="shared" si="3"/>
        <v>3815895.2672359496</v>
      </c>
      <c r="I21" s="89">
        <f t="shared" si="3"/>
        <v>4112129.2419292675</v>
      </c>
      <c r="J21" s="89">
        <f t="shared" si="3"/>
        <v>4428446.8759238264</v>
      </c>
      <c r="K21" s="89">
        <f t="shared" si="3"/>
        <v>4766115.9502130179</v>
      </c>
      <c r="L21" s="87"/>
      <c r="M21" s="87"/>
    </row>
    <row r="22" spans="1:18">
      <c r="C22" s="87"/>
      <c r="D22" s="87"/>
      <c r="E22" s="87"/>
      <c r="F22" s="87"/>
      <c r="G22" s="87"/>
      <c r="H22" s="87"/>
      <c r="I22" s="87"/>
      <c r="J22" s="87"/>
      <c r="K22" s="87"/>
      <c r="L22" s="87"/>
      <c r="M22" s="87"/>
    </row>
    <row r="23" spans="1:18" ht="41.15" customHeight="1">
      <c r="A23" s="447" t="s">
        <v>430</v>
      </c>
      <c r="B23" s="447"/>
      <c r="C23" s="447"/>
      <c r="D23" s="447"/>
      <c r="E23" s="447"/>
      <c r="F23" s="447"/>
      <c r="G23" s="447"/>
      <c r="H23" s="447"/>
      <c r="I23" s="447"/>
      <c r="J23" s="447"/>
      <c r="K23" s="447"/>
      <c r="L23" s="309"/>
      <c r="M23" s="309"/>
      <c r="N23" s="309"/>
      <c r="O23" s="259"/>
      <c r="P23" s="259"/>
      <c r="Q23" s="259"/>
      <c r="R23" s="259"/>
    </row>
    <row r="24" spans="1:18">
      <c r="A24" t="s">
        <v>555</v>
      </c>
    </row>
    <row r="25" spans="1:18">
      <c r="A25">
        <v>1</v>
      </c>
      <c r="B25" t="s">
        <v>558</v>
      </c>
    </row>
    <row r="28" spans="1:18" ht="17.5">
      <c r="B28" s="416" t="s">
        <v>581</v>
      </c>
      <c r="C28" s="416"/>
      <c r="D28" s="416"/>
      <c r="E28" s="416"/>
      <c r="F28" s="416"/>
      <c r="G28" s="416"/>
      <c r="H28" s="416"/>
      <c r="I28" s="416"/>
      <c r="J28" s="416"/>
      <c r="K28" s="416"/>
    </row>
    <row r="30" spans="1:18">
      <c r="B30" s="438" t="s">
        <v>146</v>
      </c>
      <c r="C30" s="438" t="s">
        <v>0</v>
      </c>
      <c r="D30" s="441" t="s">
        <v>375</v>
      </c>
      <c r="E30" s="443" t="s">
        <v>160</v>
      </c>
      <c r="F30" s="444"/>
      <c r="G30" s="444"/>
      <c r="H30" s="444"/>
      <c r="I30" s="444"/>
      <c r="J30" s="444"/>
      <c r="K30" s="444"/>
    </row>
    <row r="31" spans="1:18">
      <c r="B31" s="438"/>
      <c r="C31" s="438"/>
      <c r="D31" s="442"/>
      <c r="E31" s="207" t="s">
        <v>2</v>
      </c>
      <c r="F31" s="207" t="s">
        <v>3</v>
      </c>
      <c r="G31" s="207" t="s">
        <v>4</v>
      </c>
      <c r="H31" s="207" t="s">
        <v>5</v>
      </c>
      <c r="I31" s="207" t="s">
        <v>6</v>
      </c>
      <c r="J31" s="207" t="s">
        <v>171</v>
      </c>
      <c r="K31" s="207" t="s">
        <v>170</v>
      </c>
    </row>
    <row r="32" spans="1:18">
      <c r="B32" s="209"/>
      <c r="C32" s="210"/>
      <c r="D32" s="210"/>
      <c r="E32" s="211"/>
      <c r="F32" s="211"/>
      <c r="G32" s="211"/>
      <c r="H32" s="211"/>
      <c r="I32" s="211"/>
      <c r="J32" s="211"/>
      <c r="K32" s="211"/>
    </row>
    <row r="33" spans="2:11">
      <c r="B33" s="212" t="s">
        <v>175</v>
      </c>
      <c r="C33" s="213" t="s">
        <v>354</v>
      </c>
      <c r="D33" s="218"/>
      <c r="E33" s="214"/>
      <c r="F33" s="214"/>
      <c r="G33" s="214"/>
      <c r="H33" s="214"/>
      <c r="I33" s="214"/>
      <c r="J33" s="214"/>
      <c r="K33" s="214"/>
    </row>
    <row r="34" spans="2:11">
      <c r="B34" s="245">
        <v>1</v>
      </c>
      <c r="C34" s="215" t="s">
        <v>377</v>
      </c>
      <c r="D34" s="218">
        <v>14</v>
      </c>
      <c r="E34" s="214">
        <f>('16.Facility 5 Agri Input'!D191/365)*$D$34</f>
        <v>0</v>
      </c>
      <c r="F34" s="214">
        <f>('16.Facility 5 Agri Input'!E191/365)*$D$34</f>
        <v>0</v>
      </c>
      <c r="G34" s="214">
        <f>('16.Facility 5 Agri Input'!F191/365)*$D$34</f>
        <v>0</v>
      </c>
      <c r="H34" s="214">
        <f>('16.Facility 5 Agri Input'!G191/365)*$D$34</f>
        <v>0</v>
      </c>
      <c r="I34" s="214">
        <f>('16.Facility 5 Agri Input'!H191/365)*$D$34</f>
        <v>0</v>
      </c>
      <c r="J34" s="214">
        <f>('16.Facility 5 Agri Input'!I191/365)*$D$34</f>
        <v>0</v>
      </c>
      <c r="K34" s="214">
        <f>('16.Facility 5 Agri Input'!J191/365)*$D$34</f>
        <v>0</v>
      </c>
    </row>
    <row r="35" spans="2:11">
      <c r="B35" s="245">
        <v>2</v>
      </c>
      <c r="C35" s="215" t="s">
        <v>372</v>
      </c>
      <c r="D35" s="218">
        <v>14</v>
      </c>
      <c r="E35" s="214">
        <f>('15. Facility 4 Custom Hiring'!E39/365)*$D$35</f>
        <v>0</v>
      </c>
      <c r="F35" s="214">
        <f>('15. Facility 4 Custom Hiring'!F39/365)*$D$35</f>
        <v>0</v>
      </c>
      <c r="G35" s="214">
        <f>('15. Facility 4 Custom Hiring'!G39/365)*$D$35</f>
        <v>0</v>
      </c>
      <c r="H35" s="214">
        <f>('15. Facility 4 Custom Hiring'!H39/365)*$D$35</f>
        <v>0</v>
      </c>
      <c r="I35" s="214">
        <f>('15. Facility 4 Custom Hiring'!I39/365)*$D$35</f>
        <v>0</v>
      </c>
      <c r="J35" s="214">
        <f>('15. Facility 4 Custom Hiring'!J39/365)*$D$35</f>
        <v>0</v>
      </c>
      <c r="K35" s="214">
        <f>('15. Facility 4 Custom Hiring'!K39/365)*$D$35</f>
        <v>0</v>
      </c>
    </row>
    <row r="36" spans="2:11">
      <c r="B36" s="245">
        <v>3</v>
      </c>
      <c r="C36" s="215" t="s">
        <v>373</v>
      </c>
      <c r="D36" s="218">
        <v>14</v>
      </c>
      <c r="E36" s="214">
        <f>('12.Facility 1 - Trading'!D229/365)*$D$36</f>
        <v>0</v>
      </c>
      <c r="F36" s="214">
        <f>('12.Facility 1 - Trading'!E229/365)*$D$36</f>
        <v>0</v>
      </c>
      <c r="G36" s="214">
        <f>('12.Facility 1 - Trading'!F229/365)*$D$36</f>
        <v>0</v>
      </c>
      <c r="H36" s="214">
        <f>('12.Facility 1 - Trading'!G229/365)*$D$36</f>
        <v>0</v>
      </c>
      <c r="I36" s="214">
        <f>('12.Facility 1 - Trading'!H229/365)*$D$36</f>
        <v>0</v>
      </c>
      <c r="J36" s="214">
        <f>('12.Facility 1 - Trading'!I229/365)*$D$36</f>
        <v>0</v>
      </c>
      <c r="K36" s="214">
        <f>('12.Facility 1 - Trading'!J229/365)*$D$36</f>
        <v>0</v>
      </c>
    </row>
    <row r="37" spans="2:11">
      <c r="B37" s="245">
        <v>4</v>
      </c>
      <c r="C37" s="215" t="s">
        <v>141</v>
      </c>
      <c r="D37" s="218">
        <v>14</v>
      </c>
      <c r="E37" s="214">
        <f>('13.Facility 2 Grain Processing'!D148/365)*$D$37</f>
        <v>2777329.4939178084</v>
      </c>
      <c r="F37" s="214">
        <f>('13.Facility 2 Grain Processing'!E148/365)*$D$37</f>
        <v>3143446.5772010954</v>
      </c>
      <c r="G37" s="214">
        <f>('13.Facility 2 Grain Processing'!F148/365)*$D$37</f>
        <v>3392422.7068326576</v>
      </c>
      <c r="H37" s="214">
        <f>('13.Facility 2 Grain Processing'!G148/365)*$D$37</f>
        <v>3658437.8329843725</v>
      </c>
      <c r="I37" s="214">
        <f>('13.Facility 2 Grain Processing'!H148/365)*$D$37</f>
        <v>3942573.4149841778</v>
      </c>
      <c r="J37" s="214">
        <f>('13.Facility 2 Grain Processing'!I148/365)*$D$37</f>
        <v>4245976.460601503</v>
      </c>
      <c r="K37" s="214">
        <f>('13.Facility 2 Grain Processing'!J148/365)*$D$37</f>
        <v>4569863.3772430997</v>
      </c>
    </row>
    <row r="38" spans="2:11">
      <c r="B38" s="245">
        <v>5</v>
      </c>
      <c r="C38" s="215" t="s">
        <v>304</v>
      </c>
      <c r="D38" s="218">
        <v>14</v>
      </c>
      <c r="E38" s="214">
        <f>('14. Facility 3 Warehouse'!D23/365)*$D$38</f>
        <v>0</v>
      </c>
      <c r="F38" s="214">
        <f>('14. Facility 3 Warehouse'!E23/365)*$D$38</f>
        <v>0</v>
      </c>
      <c r="G38" s="214">
        <f>('14. Facility 3 Warehouse'!F23/365)*$D$38</f>
        <v>0</v>
      </c>
      <c r="H38" s="214">
        <f>('14. Facility 3 Warehouse'!G23/365)*$D$38</f>
        <v>0</v>
      </c>
      <c r="I38" s="214">
        <f>('14. Facility 3 Warehouse'!H23/365)*$D$38</f>
        <v>0</v>
      </c>
      <c r="J38" s="214">
        <f>('14. Facility 3 Warehouse'!I23/365)*$D$38</f>
        <v>0</v>
      </c>
      <c r="K38" s="214">
        <f>('14. Facility 3 Warehouse'!J23/365)*$D$38</f>
        <v>0</v>
      </c>
    </row>
    <row r="39" spans="2:11">
      <c r="B39" s="245">
        <v>6</v>
      </c>
      <c r="C39" s="215" t="s">
        <v>550</v>
      </c>
      <c r="D39" s="218">
        <v>14</v>
      </c>
      <c r="E39" s="214">
        <f>('17.Facility 6 Horti Processing '!D159/365)*$D$39</f>
        <v>0</v>
      </c>
      <c r="F39" s="214">
        <f>('17.Facility 6 Horti Processing '!E159/365)*$D$39</f>
        <v>0</v>
      </c>
      <c r="G39" s="214">
        <f>('17.Facility 6 Horti Processing '!F159/365)*$D$39</f>
        <v>0</v>
      </c>
      <c r="H39" s="214">
        <f>('17.Facility 6 Horti Processing '!G159/365)*$D$39</f>
        <v>0</v>
      </c>
      <c r="I39" s="214">
        <f>('17.Facility 6 Horti Processing '!H159/365)*$D$39</f>
        <v>0</v>
      </c>
      <c r="J39" s="214">
        <f>('17.Facility 6 Horti Processing '!I159/365)*$D$39</f>
        <v>0</v>
      </c>
      <c r="K39" s="214">
        <f>('17.Facility 6 Horti Processing '!J159/365)*$D$39</f>
        <v>0</v>
      </c>
    </row>
    <row r="40" spans="2:11">
      <c r="B40" s="245"/>
      <c r="C40" s="215"/>
      <c r="D40" s="218"/>
      <c r="E40" s="214"/>
      <c r="F40" s="214"/>
      <c r="G40" s="214"/>
      <c r="H40" s="214"/>
      <c r="I40" s="214"/>
      <c r="J40" s="214"/>
      <c r="K40" s="214"/>
    </row>
    <row r="41" spans="2:11">
      <c r="B41" s="235"/>
      <c r="C41" s="213" t="s">
        <v>173</v>
      </c>
      <c r="D41" s="218"/>
      <c r="E41" s="214">
        <f>SUM(E34:E40)</f>
        <v>2777329.4939178084</v>
      </c>
      <c r="F41" s="214">
        <f t="shared" ref="F41:K41" si="4">SUM(F34:F40)</f>
        <v>3143446.5772010954</v>
      </c>
      <c r="G41" s="214">
        <f t="shared" si="4"/>
        <v>3392422.7068326576</v>
      </c>
      <c r="H41" s="214">
        <f t="shared" si="4"/>
        <v>3658437.8329843725</v>
      </c>
      <c r="I41" s="214">
        <f t="shared" si="4"/>
        <v>3942573.4149841778</v>
      </c>
      <c r="J41" s="214">
        <f t="shared" si="4"/>
        <v>4245976.460601503</v>
      </c>
      <c r="K41" s="214">
        <f t="shared" si="4"/>
        <v>4569863.3772430997</v>
      </c>
    </row>
    <row r="42" spans="2:11">
      <c r="B42" s="212" t="s">
        <v>176</v>
      </c>
      <c r="C42" s="213" t="s">
        <v>353</v>
      </c>
      <c r="D42" s="218"/>
      <c r="E42" s="214">
        <f>'5.Closing Stock &amp; W Capital'!E21</f>
        <v>3036078.5035890904</v>
      </c>
      <c r="F42" s="214">
        <f>'5.Closing Stock &amp; W Capital'!F21</f>
        <v>3278964.7838762179</v>
      </c>
      <c r="G42" s="214">
        <f>'5.Closing Stock &amp; W Capital'!G21</f>
        <v>3538549.4959330857</v>
      </c>
      <c r="H42" s="214">
        <f>'5.Closing Stock &amp; W Capital'!H21</f>
        <v>3815895.2672359496</v>
      </c>
      <c r="I42" s="214">
        <f>'5.Closing Stock &amp; W Capital'!I21</f>
        <v>4112129.2419292675</v>
      </c>
      <c r="J42" s="214">
        <f>'5.Closing Stock &amp; W Capital'!J21</f>
        <v>4428446.8759238264</v>
      </c>
      <c r="K42" s="214">
        <f>'5.Closing Stock &amp; W Capital'!K21</f>
        <v>4766115.9502130179</v>
      </c>
    </row>
    <row r="43" spans="2:11">
      <c r="B43" s="212"/>
      <c r="C43" s="215"/>
      <c r="D43" s="218"/>
      <c r="E43" s="214"/>
      <c r="F43" s="214"/>
      <c r="G43" s="214"/>
      <c r="H43" s="214"/>
      <c r="I43" s="214"/>
      <c r="J43" s="214"/>
      <c r="K43" s="214"/>
    </row>
    <row r="44" spans="2:11">
      <c r="B44" s="439" t="s">
        <v>1</v>
      </c>
      <c r="C44" s="440"/>
      <c r="D44" s="220"/>
      <c r="E44" s="216">
        <f>SUM(E41:E42)</f>
        <v>5813407.9975068988</v>
      </c>
      <c r="F44" s="216">
        <f t="shared" ref="F44:K44" si="5">SUM(F41:F42)</f>
        <v>6422411.3610773133</v>
      </c>
      <c r="G44" s="216">
        <f t="shared" si="5"/>
        <v>6930972.2027657432</v>
      </c>
      <c r="H44" s="216">
        <f t="shared" si="5"/>
        <v>7474333.1002203226</v>
      </c>
      <c r="I44" s="216">
        <f t="shared" si="5"/>
        <v>8054702.6569134453</v>
      </c>
      <c r="J44" s="216">
        <f t="shared" si="5"/>
        <v>8674423.3365253285</v>
      </c>
      <c r="K44" s="216">
        <f t="shared" si="5"/>
        <v>9335979.3274561167</v>
      </c>
    </row>
    <row r="45" spans="2:11">
      <c r="B45" s="212"/>
      <c r="C45" s="213"/>
      <c r="D45" s="218"/>
      <c r="E45" s="214"/>
      <c r="F45" s="214"/>
      <c r="G45" s="214"/>
      <c r="H45" s="214"/>
      <c r="I45" s="214"/>
      <c r="J45" s="214"/>
      <c r="K45" s="214"/>
    </row>
    <row r="46" spans="2:11" ht="34.5" customHeight="1">
      <c r="B46" s="212" t="s">
        <v>177</v>
      </c>
      <c r="C46" s="215" t="s">
        <v>355</v>
      </c>
      <c r="D46" s="218"/>
      <c r="E46" s="214"/>
      <c r="F46" s="214"/>
      <c r="G46" s="214"/>
      <c r="H46" s="214"/>
      <c r="I46" s="214"/>
      <c r="J46" s="214"/>
      <c r="K46" s="214"/>
    </row>
    <row r="47" spans="2:11">
      <c r="B47" s="245">
        <v>1</v>
      </c>
      <c r="C47" s="215" t="str">
        <f t="shared" ref="C47:C52" si="6">C34</f>
        <v>Agri Input</v>
      </c>
      <c r="D47" s="218">
        <v>7</v>
      </c>
      <c r="E47" s="214">
        <f>('16.Facility 5 Agri Input'!D262/365)*$D$47</f>
        <v>0</v>
      </c>
      <c r="F47" s="214">
        <f>('16.Facility 5 Agri Input'!E262/365)*$D$47</f>
        <v>0</v>
      </c>
      <c r="G47" s="214">
        <f>('16.Facility 5 Agri Input'!F262/365)*$D$47</f>
        <v>0</v>
      </c>
      <c r="H47" s="214">
        <f>('16.Facility 5 Agri Input'!G262/365)*$D$47</f>
        <v>0</v>
      </c>
      <c r="I47" s="214">
        <f>('16.Facility 5 Agri Input'!H262/365)*$D$47</f>
        <v>0</v>
      </c>
      <c r="J47" s="214">
        <f>('16.Facility 5 Agri Input'!I262/365)*$D$47</f>
        <v>0</v>
      </c>
      <c r="K47" s="214">
        <f>('16.Facility 5 Agri Input'!J262/365)*$D$47</f>
        <v>0</v>
      </c>
    </row>
    <row r="48" spans="2:11">
      <c r="B48" s="245">
        <v>2</v>
      </c>
      <c r="C48" s="215" t="str">
        <f t="shared" si="6"/>
        <v>Custom Hiring</v>
      </c>
      <c r="D48" s="218">
        <v>7</v>
      </c>
      <c r="E48" s="214">
        <f>('15. Facility 4 Custom Hiring'!E49/365)*$D$49</f>
        <v>0</v>
      </c>
      <c r="F48" s="214">
        <f>('15. Facility 4 Custom Hiring'!F49/365)*$D$49</f>
        <v>0</v>
      </c>
      <c r="G48" s="214">
        <f>('15. Facility 4 Custom Hiring'!G49/365)*$D$49</f>
        <v>0</v>
      </c>
      <c r="H48" s="214">
        <f>('15. Facility 4 Custom Hiring'!H49/365)*$D$49</f>
        <v>0</v>
      </c>
      <c r="I48" s="214">
        <f>('15. Facility 4 Custom Hiring'!I49/365)*$D$49</f>
        <v>0</v>
      </c>
      <c r="J48" s="214">
        <f>('15. Facility 4 Custom Hiring'!J49/365)*$D$49</f>
        <v>0</v>
      </c>
      <c r="K48" s="214">
        <f>('15. Facility 4 Custom Hiring'!K49/365)*$D$49</f>
        <v>0</v>
      </c>
    </row>
    <row r="49" spans="1:12">
      <c r="B49" s="245">
        <v>3</v>
      </c>
      <c r="C49" s="215" t="str">
        <f t="shared" si="6"/>
        <v>Cleaning &amp; Grading</v>
      </c>
      <c r="D49" s="218">
        <v>7</v>
      </c>
      <c r="E49" s="214">
        <f>('12.Facility 1 - Trading'!D292/365)*$D$49</f>
        <v>0</v>
      </c>
      <c r="F49" s="214">
        <f>('12.Facility 1 - Trading'!E292/365)*$D$49</f>
        <v>0</v>
      </c>
      <c r="G49" s="214">
        <f>('12.Facility 1 - Trading'!F292/365)*$D$49</f>
        <v>0</v>
      </c>
      <c r="H49" s="214">
        <f>('12.Facility 1 - Trading'!G292/365)*$D$49</f>
        <v>0</v>
      </c>
      <c r="I49" s="214">
        <f>('12.Facility 1 - Trading'!H292/365)*$D$49</f>
        <v>0</v>
      </c>
      <c r="J49" s="214">
        <f>('12.Facility 1 - Trading'!I292/365)*$D$49</f>
        <v>0</v>
      </c>
      <c r="K49" s="214">
        <f>('12.Facility 1 - Trading'!J292/365)*$D$49</f>
        <v>0</v>
      </c>
    </row>
    <row r="50" spans="1:12">
      <c r="B50" s="245">
        <v>4</v>
      </c>
      <c r="C50" s="215" t="str">
        <f t="shared" si="6"/>
        <v>Dal Mill</v>
      </c>
      <c r="D50" s="218">
        <v>7</v>
      </c>
      <c r="E50" s="214">
        <f>('13.Facility 2 Grain Processing'!D169/365)*$D$50</f>
        <v>1133857.5768146547</v>
      </c>
      <c r="F50" s="214">
        <f>('13.Facility 2 Grain Processing'!E169/365)*$D$50</f>
        <v>1282792.3460423581</v>
      </c>
      <c r="G50" s="214">
        <f>('13.Facility 2 Grain Processing'!F169/365)*$D$50</f>
        <v>1384395.2619066134</v>
      </c>
      <c r="H50" s="214">
        <f>('13.Facility 2 Grain Processing'!G169/365)*$D$50</f>
        <v>1492951.4884921887</v>
      </c>
      <c r="I50" s="214">
        <f>('13.Facility 2 Grain Processing'!H169/365)*$D$50</f>
        <v>1608902.349581555</v>
      </c>
      <c r="J50" s="214">
        <f>('13.Facility 2 Grain Processing'!I169/365)*$D$50</f>
        <v>1732715.9180586273</v>
      </c>
      <c r="K50" s="214">
        <f>('13.Facility 2 Grain Processing'!J169/365)*$D$50</f>
        <v>1864888.5875094528</v>
      </c>
    </row>
    <row r="51" spans="1:12">
      <c r="B51" s="245">
        <v>5</v>
      </c>
      <c r="C51" s="215" t="str">
        <f t="shared" si="6"/>
        <v>Warehouse</v>
      </c>
      <c r="D51" s="218">
        <v>7</v>
      </c>
      <c r="E51" s="214">
        <f>('14. Facility 3 Warehouse'!D34/365)*$D$51</f>
        <v>0</v>
      </c>
      <c r="F51" s="214">
        <f>('14. Facility 3 Warehouse'!E34/365)*$D$51</f>
        <v>0</v>
      </c>
      <c r="G51" s="214">
        <f>('14. Facility 3 Warehouse'!F34/365)*$D$51</f>
        <v>0</v>
      </c>
      <c r="H51" s="214">
        <f>('14. Facility 3 Warehouse'!G34/365)*$D$51</f>
        <v>0</v>
      </c>
      <c r="I51" s="214">
        <f>('14. Facility 3 Warehouse'!H34/365)*$D$51</f>
        <v>0</v>
      </c>
      <c r="J51" s="214">
        <f>('14. Facility 3 Warehouse'!I34/365)*$D$51</f>
        <v>0</v>
      </c>
      <c r="K51" s="214">
        <f>('14. Facility 3 Warehouse'!J34/365)*$D$51</f>
        <v>0</v>
      </c>
    </row>
    <row r="52" spans="1:12">
      <c r="B52" s="245"/>
      <c r="C52" s="215" t="str">
        <f t="shared" si="6"/>
        <v>Processing Unit - Horti Commodity</v>
      </c>
      <c r="D52" s="218">
        <v>7</v>
      </c>
      <c r="E52" s="214">
        <f>('17.Facility 6 Horti Processing '!D177/365)*$D$52</f>
        <v>-58226.163082530504</v>
      </c>
      <c r="F52" s="214">
        <f>('17.Facility 6 Horti Processing '!E177/365)*$D$52</f>
        <v>-4658.0930466024447</v>
      </c>
      <c r="G52" s="214">
        <f>('17.Facility 6 Horti Processing '!F177/365)*$D$52</f>
        <v>-4978.3369435563682</v>
      </c>
      <c r="H52" s="214">
        <f>('17.Facility 6 Horti Processing '!G177/365)*$D$52</f>
        <v>-5318.9599975891715</v>
      </c>
      <c r="I52" s="214">
        <f>('17.Facility 6 Horti Processing '!H177/365)*$D$52</f>
        <v>-5681.1995146663703</v>
      </c>
      <c r="J52" s="214">
        <f>('17.Facility 6 Horti Processing '!I177/365)*$D$52</f>
        <v>-6066.3655834572928</v>
      </c>
      <c r="K52" s="214">
        <f>('17.Facility 6 Horti Processing '!J177/365)*$D$52</f>
        <v>-6475.8452603406595</v>
      </c>
    </row>
    <row r="53" spans="1:12">
      <c r="B53" s="245"/>
      <c r="C53" s="215"/>
      <c r="D53" s="218"/>
      <c r="E53" s="214"/>
      <c r="F53" s="214"/>
      <c r="G53" s="214"/>
      <c r="H53" s="214"/>
      <c r="I53" s="214"/>
      <c r="J53" s="214"/>
      <c r="K53" s="214"/>
    </row>
    <row r="54" spans="1:12">
      <c r="B54" s="208"/>
      <c r="C54" s="213" t="s">
        <v>1</v>
      </c>
      <c r="D54" s="218"/>
      <c r="E54" s="216">
        <f>SUM(E47:E53)</f>
        <v>1075631.4137321243</v>
      </c>
      <c r="F54" s="216">
        <f t="shared" ref="F54:K54" si="7">SUM(F47:F53)</f>
        <v>1278134.2529957555</v>
      </c>
      <c r="G54" s="216">
        <f t="shared" si="7"/>
        <v>1379416.924963057</v>
      </c>
      <c r="H54" s="216">
        <f t="shared" si="7"/>
        <v>1487632.5284945995</v>
      </c>
      <c r="I54" s="216">
        <f t="shared" si="7"/>
        <v>1603221.1500668887</v>
      </c>
      <c r="J54" s="216">
        <f t="shared" si="7"/>
        <v>1726649.55247517</v>
      </c>
      <c r="K54" s="216">
        <f t="shared" si="7"/>
        <v>1858412.7422491121</v>
      </c>
    </row>
    <row r="55" spans="1:12">
      <c r="B55" s="212" t="s">
        <v>178</v>
      </c>
      <c r="C55" s="213" t="s">
        <v>158</v>
      </c>
      <c r="D55" s="218"/>
      <c r="E55" s="216">
        <f>E44-E54</f>
        <v>4737776.5837747743</v>
      </c>
      <c r="F55" s="216">
        <f t="shared" ref="F55:K55" si="8">F44-F54</f>
        <v>5144277.1080815578</v>
      </c>
      <c r="G55" s="216">
        <f t="shared" si="8"/>
        <v>5551555.2778026862</v>
      </c>
      <c r="H55" s="216">
        <f t="shared" si="8"/>
        <v>5986700.5717257233</v>
      </c>
      <c r="I55" s="216">
        <f t="shared" si="8"/>
        <v>6451481.5068465564</v>
      </c>
      <c r="J55" s="216">
        <f t="shared" si="8"/>
        <v>6947773.7840501582</v>
      </c>
      <c r="K55" s="216">
        <f t="shared" si="8"/>
        <v>7477566.5852070041</v>
      </c>
    </row>
    <row r="56" spans="1:12">
      <c r="B56" s="212"/>
      <c r="C56" s="213" t="s">
        <v>135</v>
      </c>
      <c r="D56" s="254">
        <v>0.25</v>
      </c>
      <c r="E56" s="216">
        <f>E55*$D$56</f>
        <v>1184444.1459436936</v>
      </c>
      <c r="F56" s="216"/>
      <c r="G56" s="216"/>
      <c r="H56" s="216"/>
      <c r="I56" s="216"/>
      <c r="J56" s="216"/>
      <c r="K56" s="216"/>
    </row>
    <row r="58" spans="1:12">
      <c r="E58" s="24"/>
    </row>
    <row r="59" spans="1:12" ht="37" customHeight="1">
      <c r="A59" s="436" t="s">
        <v>426</v>
      </c>
      <c r="B59" s="437"/>
      <c r="C59" s="437"/>
      <c r="D59" s="437"/>
      <c r="E59" s="437"/>
      <c r="F59" s="437"/>
      <c r="G59" s="437"/>
      <c r="H59" s="437"/>
      <c r="I59" s="437"/>
      <c r="J59" s="437"/>
      <c r="K59" s="437"/>
      <c r="L59" s="437"/>
    </row>
    <row r="60" spans="1:12">
      <c r="A60" t="s">
        <v>559</v>
      </c>
    </row>
    <row r="61" spans="1:12">
      <c r="A61">
        <v>1</v>
      </c>
      <c r="B61" t="s">
        <v>560</v>
      </c>
    </row>
    <row r="62" spans="1:12">
      <c r="A62">
        <v>2</v>
      </c>
      <c r="B62" t="s">
        <v>561</v>
      </c>
    </row>
    <row r="63" spans="1:12">
      <c r="A63">
        <v>3</v>
      </c>
      <c r="B63" t="s">
        <v>562</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49"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A31" zoomScale="106" zoomScaleNormal="100" zoomScaleSheetLayoutView="106" workbookViewId="0">
      <selection activeCell="B19" sqref="B19"/>
    </sheetView>
  </sheetViews>
  <sheetFormatPr defaultRowHeight="14.5"/>
  <cols>
    <col min="1" max="1" width="31.6328125" customWidth="1"/>
    <col min="2" max="5" width="11.90625" bestFit="1" customWidth="1"/>
    <col min="6" max="8" width="13" bestFit="1" customWidth="1"/>
    <col min="9" max="9" width="8.54296875" customWidth="1"/>
    <col min="10" max="10" width="10.1796875" bestFit="1" customWidth="1"/>
    <col min="11" max="11" width="9.54296875" bestFit="1" customWidth="1"/>
  </cols>
  <sheetData>
    <row r="2" spans="1:8" ht="17.5">
      <c r="A2" s="414" t="s">
        <v>582</v>
      </c>
      <c r="B2" s="414"/>
      <c r="C2" s="414"/>
      <c r="D2" s="414"/>
      <c r="E2" s="414"/>
      <c r="F2" s="414"/>
      <c r="G2" s="414"/>
      <c r="H2" s="414"/>
    </row>
    <row r="4" spans="1:8">
      <c r="B4" s="4"/>
      <c r="C4" s="4"/>
      <c r="D4" s="4"/>
      <c r="E4" s="4"/>
      <c r="F4" s="4"/>
    </row>
    <row r="5" spans="1:8">
      <c r="A5" s="141" t="s">
        <v>0</v>
      </c>
      <c r="B5" s="113" t="s">
        <v>2</v>
      </c>
      <c r="C5" s="113" t="s">
        <v>3</v>
      </c>
      <c r="D5" s="113" t="s">
        <v>4</v>
      </c>
      <c r="E5" s="113" t="s">
        <v>5</v>
      </c>
      <c r="F5" s="113" t="s">
        <v>6</v>
      </c>
      <c r="G5" s="113" t="s">
        <v>171</v>
      </c>
      <c r="H5" s="113" t="s">
        <v>170</v>
      </c>
    </row>
    <row r="6" spans="1:8">
      <c r="A6" s="90" t="s">
        <v>127</v>
      </c>
      <c r="B6" s="88"/>
      <c r="C6" s="88"/>
      <c r="D6" s="88"/>
      <c r="E6" s="88"/>
      <c r="F6" s="88"/>
      <c r="G6" s="88"/>
      <c r="H6" s="88"/>
    </row>
    <row r="7" spans="1:8">
      <c r="A7" s="88"/>
      <c r="B7" s="88"/>
      <c r="C7" s="88"/>
      <c r="D7" s="88"/>
      <c r="E7" s="88"/>
      <c r="F7" s="88"/>
      <c r="G7" s="88"/>
      <c r="H7" s="88"/>
    </row>
    <row r="8" spans="1:8">
      <c r="A8" s="102" t="s">
        <v>525</v>
      </c>
      <c r="B8" s="89">
        <f>'12.Facility 1 - Trading'!D229</f>
        <v>0</v>
      </c>
      <c r="C8" s="89">
        <f>'12.Facility 1 - Trading'!E229</f>
        <v>0</v>
      </c>
      <c r="D8" s="89">
        <f>'12.Facility 1 - Trading'!F229</f>
        <v>0</v>
      </c>
      <c r="E8" s="89">
        <f>'12.Facility 1 - Trading'!G229</f>
        <v>0</v>
      </c>
      <c r="F8" s="89">
        <f>'12.Facility 1 - Trading'!H229</f>
        <v>0</v>
      </c>
      <c r="G8" s="89">
        <f>'12.Facility 1 - Trading'!I229</f>
        <v>0</v>
      </c>
      <c r="H8" s="89">
        <f>'12.Facility 1 - Trading'!J229</f>
        <v>0</v>
      </c>
    </row>
    <row r="9" spans="1:8">
      <c r="A9" s="102" t="s">
        <v>526</v>
      </c>
      <c r="B9" s="89">
        <f>'13.Facility 2 Grain Processing'!D148</f>
        <v>72408947.519999996</v>
      </c>
      <c r="C9" s="89">
        <f>'13.Facility 2 Grain Processing'!E148</f>
        <v>81954142.905599996</v>
      </c>
      <c r="D9" s="89">
        <f>'13.Facility 2 Grain Processing'!F148</f>
        <v>88445306.285280004</v>
      </c>
      <c r="E9" s="89">
        <f>'13.Facility 2 Grain Processing'!G148</f>
        <v>95380700.645664006</v>
      </c>
      <c r="F9" s="89">
        <f>'13.Facility 2 Grain Processing'!H148</f>
        <v>102788521.17637321</v>
      </c>
      <c r="G9" s="89">
        <f>'13.Facility 2 Grain Processing'!I148</f>
        <v>110698672.00853918</v>
      </c>
      <c r="H9" s="89">
        <f>'13.Facility 2 Grain Processing'!J148</f>
        <v>119142866.62098081</v>
      </c>
    </row>
    <row r="10" spans="1:8">
      <c r="A10" s="102" t="s">
        <v>527</v>
      </c>
      <c r="B10" s="89">
        <f>'14. Facility 3 Warehouse'!D23</f>
        <v>0</v>
      </c>
      <c r="C10" s="89">
        <f>'14. Facility 3 Warehouse'!E23</f>
        <v>0</v>
      </c>
      <c r="D10" s="89">
        <f>'14. Facility 3 Warehouse'!F23</f>
        <v>0</v>
      </c>
      <c r="E10" s="89">
        <f>'14. Facility 3 Warehouse'!G23</f>
        <v>0</v>
      </c>
      <c r="F10" s="89">
        <f>'14. Facility 3 Warehouse'!H23</f>
        <v>0</v>
      </c>
      <c r="G10" s="89">
        <f>'14. Facility 3 Warehouse'!I23</f>
        <v>0</v>
      </c>
      <c r="H10" s="89">
        <f>'14. Facility 3 Warehouse'!J23</f>
        <v>0</v>
      </c>
    </row>
    <row r="11" spans="1:8">
      <c r="A11" s="102" t="s">
        <v>528</v>
      </c>
      <c r="B11" s="89">
        <f>'15. Facility 4 Custom Hiring'!E39</f>
        <v>0</v>
      </c>
      <c r="C11" s="89">
        <f>'15. Facility 4 Custom Hiring'!F39</f>
        <v>0</v>
      </c>
      <c r="D11" s="89">
        <f>'15. Facility 4 Custom Hiring'!G39</f>
        <v>0</v>
      </c>
      <c r="E11" s="89">
        <f>'15. Facility 4 Custom Hiring'!H39</f>
        <v>0</v>
      </c>
      <c r="F11" s="89">
        <f>'15. Facility 4 Custom Hiring'!I39</f>
        <v>0</v>
      </c>
      <c r="G11" s="89">
        <f>'15. Facility 4 Custom Hiring'!J39</f>
        <v>0</v>
      </c>
      <c r="H11" s="89">
        <f>'15. Facility 4 Custom Hiring'!K39</f>
        <v>0</v>
      </c>
    </row>
    <row r="12" spans="1:8">
      <c r="A12" s="102" t="s">
        <v>524</v>
      </c>
      <c r="B12" s="89">
        <f>'16.Facility 5 Agri Input'!D191</f>
        <v>0</v>
      </c>
      <c r="C12" s="89">
        <f>'16.Facility 5 Agri Input'!E191</f>
        <v>0</v>
      </c>
      <c r="D12" s="89">
        <f>'16.Facility 5 Agri Input'!F191</f>
        <v>0</v>
      </c>
      <c r="E12" s="89">
        <f>'16.Facility 5 Agri Input'!G191</f>
        <v>0</v>
      </c>
      <c r="F12" s="89">
        <f>'16.Facility 5 Agri Input'!H191</f>
        <v>0</v>
      </c>
      <c r="G12" s="89">
        <f>'16.Facility 5 Agri Input'!I191</f>
        <v>0</v>
      </c>
      <c r="H12" s="89">
        <f>'16.Facility 5 Agri Input'!J191</f>
        <v>0</v>
      </c>
    </row>
    <row r="13" spans="1:8" ht="28.5">
      <c r="A13" s="102" t="s">
        <v>549</v>
      </c>
      <c r="B13" s="89">
        <f>'17.Facility 6 Horti Processing '!D159</f>
        <v>0</v>
      </c>
      <c r="C13" s="89">
        <f>'17.Facility 6 Horti Processing '!E159</f>
        <v>0</v>
      </c>
      <c r="D13" s="89">
        <f>'17.Facility 6 Horti Processing '!F159</f>
        <v>0</v>
      </c>
      <c r="E13" s="89">
        <f>'17.Facility 6 Horti Processing '!G159</f>
        <v>0</v>
      </c>
      <c r="F13" s="89">
        <f>'17.Facility 6 Horti Processing '!H159</f>
        <v>0</v>
      </c>
      <c r="G13" s="89">
        <f>'17.Facility 6 Horti Processing '!I159</f>
        <v>0</v>
      </c>
      <c r="H13" s="89">
        <f>'17.Facility 6 Horti Processing '!J159</f>
        <v>0</v>
      </c>
    </row>
    <row r="14" spans="1:8">
      <c r="A14" s="102"/>
      <c r="B14" s="89"/>
      <c r="C14" s="89"/>
      <c r="D14" s="89"/>
      <c r="E14" s="89"/>
      <c r="F14" s="89"/>
      <c r="G14" s="89"/>
      <c r="H14" s="89"/>
    </row>
    <row r="15" spans="1:8">
      <c r="A15" s="189" t="s">
        <v>144</v>
      </c>
      <c r="B15" s="108">
        <f>SUM(B8:B14)</f>
        <v>72408947.519999996</v>
      </c>
      <c r="C15" s="108">
        <f t="shared" ref="C15:H15" si="0">SUM(C8:C14)</f>
        <v>81954142.905599996</v>
      </c>
      <c r="D15" s="108">
        <f t="shared" si="0"/>
        <v>88445306.285280004</v>
      </c>
      <c r="E15" s="108">
        <f t="shared" si="0"/>
        <v>95380700.645664006</v>
      </c>
      <c r="F15" s="108">
        <f t="shared" si="0"/>
        <v>102788521.17637321</v>
      </c>
      <c r="G15" s="108">
        <f t="shared" si="0"/>
        <v>110698672.00853918</v>
      </c>
      <c r="H15" s="108">
        <f t="shared" si="0"/>
        <v>119142866.62098081</v>
      </c>
    </row>
    <row r="16" spans="1:8">
      <c r="A16" s="102"/>
      <c r="B16" s="89"/>
      <c r="C16" s="89"/>
      <c r="D16" s="89"/>
      <c r="E16" s="89"/>
      <c r="F16" s="89"/>
      <c r="G16" s="89"/>
      <c r="H16" s="89"/>
    </row>
    <row r="17" spans="1:8">
      <c r="A17" s="189" t="s">
        <v>316</v>
      </c>
      <c r="B17" s="89"/>
      <c r="C17" s="89"/>
      <c r="D17" s="89"/>
      <c r="E17" s="89"/>
      <c r="F17" s="89"/>
      <c r="G17" s="89"/>
      <c r="H17" s="89"/>
    </row>
    <row r="18" spans="1:8">
      <c r="A18" s="102" t="str">
        <f t="shared" ref="A18:A23" si="1">A8</f>
        <v>Faclitiy 1 - Cleaning &amp; Grading</v>
      </c>
      <c r="B18" s="89">
        <f>'12.Facility 1 - Trading'!D292</f>
        <v>0</v>
      </c>
      <c r="C18" s="89">
        <f>'12.Facility 1 - Trading'!E292</f>
        <v>0</v>
      </c>
      <c r="D18" s="89">
        <f>'12.Facility 1 - Trading'!F292</f>
        <v>0</v>
      </c>
      <c r="E18" s="89">
        <f>'12.Facility 1 - Trading'!G292</f>
        <v>0</v>
      </c>
      <c r="F18" s="89">
        <f>'12.Facility 1 - Trading'!H292</f>
        <v>0</v>
      </c>
      <c r="G18" s="89">
        <f>'12.Facility 1 - Trading'!I292</f>
        <v>0</v>
      </c>
      <c r="H18" s="89">
        <f>'12.Facility 1 - Trading'!J292</f>
        <v>0</v>
      </c>
    </row>
    <row r="19" spans="1:8">
      <c r="A19" s="102" t="str">
        <f t="shared" si="1"/>
        <v>Faclitiy 2 - Processing Unit- Dal Mill</v>
      </c>
      <c r="B19" s="89">
        <f>'13.Facility 2 Grain Processing'!D169</f>
        <v>59122573.648192711</v>
      </c>
      <c r="C19" s="89">
        <f>'13.Facility 2 Grain Processing'!E169</f>
        <v>66888458.043637238</v>
      </c>
      <c r="D19" s="89">
        <f>'13.Facility 2 Grain Processing'!F169</f>
        <v>72186324.370844841</v>
      </c>
      <c r="E19" s="89">
        <f>'13.Facility 2 Grain Processing'!G169</f>
        <v>77846756.185664132</v>
      </c>
      <c r="F19" s="89">
        <f>'13.Facility 2 Grain Processing'!H169</f>
        <v>83892765.371038228</v>
      </c>
      <c r="G19" s="89">
        <f>'13.Facility 2 Grain Processing'!I169</f>
        <v>90348758.584485561</v>
      </c>
      <c r="H19" s="89">
        <f>'13.Facility 2 Grain Processing'!J169</f>
        <v>97240619.20585005</v>
      </c>
    </row>
    <row r="20" spans="1:8">
      <c r="A20" s="102" t="str">
        <f t="shared" si="1"/>
        <v>Faclitiy 3 - Warehouse</v>
      </c>
      <c r="B20" s="89">
        <f>'14. Facility 3 Warehouse'!D34</f>
        <v>0</v>
      </c>
      <c r="C20" s="89">
        <f>'14. Facility 3 Warehouse'!E34</f>
        <v>0</v>
      </c>
      <c r="D20" s="89">
        <f>'14. Facility 3 Warehouse'!F34</f>
        <v>0</v>
      </c>
      <c r="E20" s="89">
        <f>'14. Facility 3 Warehouse'!G34</f>
        <v>0</v>
      </c>
      <c r="F20" s="89">
        <f>'14. Facility 3 Warehouse'!H34</f>
        <v>0</v>
      </c>
      <c r="G20" s="89">
        <f>'14. Facility 3 Warehouse'!I34</f>
        <v>0</v>
      </c>
      <c r="H20" s="89">
        <f>'14. Facility 3 Warehouse'!J34</f>
        <v>0</v>
      </c>
    </row>
    <row r="21" spans="1:8">
      <c r="A21" s="102" t="str">
        <f t="shared" si="1"/>
        <v xml:space="preserve">Faclitiy 4 - Custom Hiring </v>
      </c>
      <c r="B21" s="89">
        <f>'15. Facility 4 Custom Hiring'!E49</f>
        <v>0</v>
      </c>
      <c r="C21" s="89">
        <f>'15. Facility 4 Custom Hiring'!F49</f>
        <v>0</v>
      </c>
      <c r="D21" s="89">
        <f>'15. Facility 4 Custom Hiring'!G49</f>
        <v>0</v>
      </c>
      <c r="E21" s="89">
        <f>'15. Facility 4 Custom Hiring'!H49</f>
        <v>0</v>
      </c>
      <c r="F21" s="89">
        <f>'15. Facility 4 Custom Hiring'!I49</f>
        <v>0</v>
      </c>
      <c r="G21" s="89">
        <f>'15. Facility 4 Custom Hiring'!J49</f>
        <v>0</v>
      </c>
      <c r="H21" s="89">
        <f>'15. Facility 4 Custom Hiring'!K49</f>
        <v>0</v>
      </c>
    </row>
    <row r="22" spans="1:8">
      <c r="A22" s="102" t="str">
        <f t="shared" si="1"/>
        <v>Faclitiy 5 - Agri Input Centre</v>
      </c>
      <c r="B22" s="89">
        <f>'16.Facility 5 Agri Input'!D262</f>
        <v>0</v>
      </c>
      <c r="C22" s="89">
        <f>'16.Facility 5 Agri Input'!E262</f>
        <v>0</v>
      </c>
      <c r="D22" s="89">
        <f>'16.Facility 5 Agri Input'!F262</f>
        <v>0</v>
      </c>
      <c r="E22" s="89">
        <f>'16.Facility 5 Agri Input'!G262</f>
        <v>0</v>
      </c>
      <c r="F22" s="89">
        <f>'16.Facility 5 Agri Input'!H262</f>
        <v>0</v>
      </c>
      <c r="G22" s="89">
        <f>'16.Facility 5 Agri Input'!I262</f>
        <v>0</v>
      </c>
      <c r="H22" s="89">
        <f>'16.Facility 5 Agri Input'!J262</f>
        <v>0</v>
      </c>
    </row>
    <row r="23" spans="1:8" ht="28.5">
      <c r="A23" s="102" t="str">
        <f t="shared" si="1"/>
        <v>Facility 6 - Processing Unit - Horti Commodity</v>
      </c>
      <c r="B23" s="89">
        <f>'17.Facility 6 Horti Processing '!D177</f>
        <v>-3036078.5035890904</v>
      </c>
      <c r="C23" s="89">
        <f>'17.Facility 6 Horti Processing '!E177</f>
        <v>-242886.28028712748</v>
      </c>
      <c r="D23" s="89">
        <f>'17.Facility 6 Horti Processing '!F177</f>
        <v>-259584.71205686778</v>
      </c>
      <c r="E23" s="89">
        <f>'17.Facility 6 Horti Processing '!G177</f>
        <v>-277345.77130286396</v>
      </c>
      <c r="F23" s="89">
        <f>'17.Facility 6 Horti Processing '!H177</f>
        <v>-296233.9746933179</v>
      </c>
      <c r="G23" s="89">
        <f>'17.Facility 6 Horti Processing '!I177</f>
        <v>-316317.63399455883</v>
      </c>
      <c r="H23" s="89">
        <f>'17.Facility 6 Horti Processing '!J177</f>
        <v>-337669.07428919151</v>
      </c>
    </row>
    <row r="24" spans="1:8">
      <c r="A24" s="102"/>
      <c r="B24" s="89"/>
      <c r="C24" s="89"/>
      <c r="D24" s="89"/>
      <c r="E24" s="89"/>
      <c r="F24" s="89"/>
      <c r="G24" s="89"/>
      <c r="H24" s="89"/>
    </row>
    <row r="25" spans="1:8">
      <c r="A25" s="189" t="s">
        <v>327</v>
      </c>
      <c r="B25" s="108">
        <f>SUM(B18:B24)</f>
        <v>56086495.144603617</v>
      </c>
      <c r="C25" s="108">
        <f t="shared" ref="C25:H25" si="2">SUM(C18:C24)</f>
        <v>66645571.763350114</v>
      </c>
      <c r="D25" s="108">
        <f t="shared" si="2"/>
        <v>71926739.658787966</v>
      </c>
      <c r="E25" s="108">
        <f t="shared" si="2"/>
        <v>77569410.414361268</v>
      </c>
      <c r="F25" s="108">
        <f t="shared" si="2"/>
        <v>83596531.396344915</v>
      </c>
      <c r="G25" s="108">
        <f t="shared" si="2"/>
        <v>90032440.950490996</v>
      </c>
      <c r="H25" s="108">
        <f t="shared" si="2"/>
        <v>96902950.131560862</v>
      </c>
    </row>
    <row r="26" spans="1:8">
      <c r="A26" s="102"/>
      <c r="B26" s="89"/>
      <c r="C26" s="89"/>
      <c r="D26" s="89"/>
      <c r="E26" s="89"/>
      <c r="F26" s="89"/>
      <c r="G26" s="89"/>
      <c r="H26" s="89"/>
    </row>
    <row r="27" spans="1:8">
      <c r="A27" s="189" t="s">
        <v>314</v>
      </c>
      <c r="B27" s="89"/>
      <c r="C27" s="89"/>
      <c r="D27" s="89"/>
      <c r="E27" s="89"/>
      <c r="F27" s="89"/>
      <c r="G27" s="89"/>
      <c r="H27" s="89"/>
    </row>
    <row r="28" spans="1:8">
      <c r="A28" s="102" t="str">
        <f t="shared" ref="A28:A33" si="3">A18</f>
        <v>Faclitiy 1 - Cleaning &amp; Grading</v>
      </c>
      <c r="B28" s="89">
        <f>'12.Facility 1 - Trading'!D301</f>
        <v>0</v>
      </c>
      <c r="C28" s="89">
        <f>'12.Facility 1 - Trading'!E301</f>
        <v>0</v>
      </c>
      <c r="D28" s="89">
        <f>'12.Facility 1 - Trading'!F301</f>
        <v>0</v>
      </c>
      <c r="E28" s="89">
        <f>'12.Facility 1 - Trading'!G301</f>
        <v>0</v>
      </c>
      <c r="F28" s="89">
        <f>'12.Facility 1 - Trading'!H301</f>
        <v>0</v>
      </c>
      <c r="G28" s="89">
        <f>'12.Facility 1 - Trading'!I301</f>
        <v>0</v>
      </c>
      <c r="H28" s="89">
        <f>'12.Facility 1 - Trading'!J301</f>
        <v>0</v>
      </c>
    </row>
    <row r="29" spans="1:8">
      <c r="A29" s="102" t="str">
        <f t="shared" si="3"/>
        <v>Faclitiy 2 - Processing Unit- Dal Mill</v>
      </c>
      <c r="B29" s="89">
        <f>'13.Facility 2 Grain Processing'!D177</f>
        <v>4176000</v>
      </c>
      <c r="C29" s="89">
        <f>'13.Facility 2 Grain Processing'!E177</f>
        <v>4384800</v>
      </c>
      <c r="D29" s="89">
        <f>'13.Facility 2 Grain Processing'!F177</f>
        <v>4604040</v>
      </c>
      <c r="E29" s="89">
        <f>'13.Facility 2 Grain Processing'!G177</f>
        <v>4834242.0000000009</v>
      </c>
      <c r="F29" s="89">
        <f>'13.Facility 2 Grain Processing'!H177</f>
        <v>5075954.1000000006</v>
      </c>
      <c r="G29" s="89">
        <f>'13.Facility 2 Grain Processing'!I177</f>
        <v>5329751.8050000016</v>
      </c>
      <c r="H29" s="89">
        <f>'13.Facility 2 Grain Processing'!J177</f>
        <v>5596239.3952500019</v>
      </c>
    </row>
    <row r="30" spans="1:8">
      <c r="A30" s="102" t="str">
        <f t="shared" si="3"/>
        <v>Faclitiy 3 - Warehouse</v>
      </c>
      <c r="B30" s="89">
        <f>'14. Facility 3 Warehouse'!D43</f>
        <v>0</v>
      </c>
      <c r="C30" s="89">
        <f>'14. Facility 3 Warehouse'!E43</f>
        <v>0</v>
      </c>
      <c r="D30" s="89">
        <f>'14. Facility 3 Warehouse'!F43</f>
        <v>0</v>
      </c>
      <c r="E30" s="89">
        <f>'14. Facility 3 Warehouse'!G43</f>
        <v>0</v>
      </c>
      <c r="F30" s="89">
        <f>'14. Facility 3 Warehouse'!H43</f>
        <v>0</v>
      </c>
      <c r="G30" s="89">
        <f>'14. Facility 3 Warehouse'!I43</f>
        <v>0</v>
      </c>
      <c r="H30" s="89">
        <f>'14. Facility 3 Warehouse'!J43</f>
        <v>0</v>
      </c>
    </row>
    <row r="31" spans="1:8">
      <c r="A31" s="102" t="str">
        <f t="shared" si="3"/>
        <v xml:space="preserve">Faclitiy 4 - Custom Hiring </v>
      </c>
      <c r="B31" s="89">
        <f>'15. Facility 4 Custom Hiring'!E56</f>
        <v>0</v>
      </c>
      <c r="C31" s="89">
        <f>'15. Facility 4 Custom Hiring'!F56</f>
        <v>0</v>
      </c>
      <c r="D31" s="89">
        <f>'15. Facility 4 Custom Hiring'!G56</f>
        <v>0</v>
      </c>
      <c r="E31" s="89">
        <f>'15. Facility 4 Custom Hiring'!H56</f>
        <v>0</v>
      </c>
      <c r="F31" s="89">
        <f>'15. Facility 4 Custom Hiring'!I56</f>
        <v>0</v>
      </c>
      <c r="G31" s="89">
        <f>'15. Facility 4 Custom Hiring'!J56</f>
        <v>0</v>
      </c>
      <c r="H31" s="89">
        <f>'15. Facility 4 Custom Hiring'!K56</f>
        <v>0</v>
      </c>
    </row>
    <row r="32" spans="1:8">
      <c r="A32" s="102" t="str">
        <f t="shared" si="3"/>
        <v>Faclitiy 5 - Agri Input Centre</v>
      </c>
      <c r="B32" s="89">
        <f>'16.Facility 5 Agri Input'!D273</f>
        <v>0</v>
      </c>
      <c r="C32" s="89">
        <f>'16.Facility 5 Agri Input'!E273</f>
        <v>0</v>
      </c>
      <c r="D32" s="89">
        <f>'16.Facility 5 Agri Input'!F273</f>
        <v>0</v>
      </c>
      <c r="E32" s="89">
        <f>'16.Facility 5 Agri Input'!G273</f>
        <v>0</v>
      </c>
      <c r="F32" s="89">
        <f>'16.Facility 5 Agri Input'!H273</f>
        <v>0</v>
      </c>
      <c r="G32" s="89">
        <f>'16.Facility 5 Agri Input'!I273</f>
        <v>0</v>
      </c>
      <c r="H32" s="89">
        <f>'16.Facility 5 Agri Input'!J273</f>
        <v>0</v>
      </c>
    </row>
    <row r="33" spans="1:10" ht="28.5">
      <c r="A33" s="102" t="str">
        <f t="shared" si="3"/>
        <v>Facility 6 - Processing Unit - Horti Commodity</v>
      </c>
      <c r="B33" s="89">
        <f>'17.Facility 6 Horti Processing '!D185</f>
        <v>0</v>
      </c>
      <c r="C33" s="89">
        <f>'17.Facility 6 Horti Processing '!E185</f>
        <v>0</v>
      </c>
      <c r="D33" s="89">
        <f>'17.Facility 6 Horti Processing '!F185</f>
        <v>0</v>
      </c>
      <c r="E33" s="89">
        <f>'17.Facility 6 Horti Processing '!G185</f>
        <v>0</v>
      </c>
      <c r="F33" s="89">
        <f>'17.Facility 6 Horti Processing '!H185</f>
        <v>0</v>
      </c>
      <c r="G33" s="89">
        <f>'17.Facility 6 Horti Processing '!I185</f>
        <v>0</v>
      </c>
      <c r="H33" s="89">
        <f>'17.Facility 6 Horti Processing '!J185</f>
        <v>0</v>
      </c>
    </row>
    <row r="34" spans="1:10">
      <c r="A34" s="102"/>
      <c r="B34" s="89"/>
      <c r="C34" s="89"/>
      <c r="D34" s="89"/>
      <c r="E34" s="89"/>
      <c r="F34" s="89"/>
      <c r="G34" s="89"/>
      <c r="H34" s="89"/>
    </row>
    <row r="35" spans="1:10">
      <c r="A35" s="102" t="s">
        <v>9</v>
      </c>
      <c r="B35" s="89">
        <f>'3.Other Exp &amp; Taxes'!E23</f>
        <v>484052</v>
      </c>
      <c r="C35" s="89">
        <f>'3.Other Exp &amp; Taxes'!F23</f>
        <v>508254.60000000003</v>
      </c>
      <c r="D35" s="89">
        <f>'3.Other Exp &amp; Taxes'!G23</f>
        <v>533667.32999999996</v>
      </c>
      <c r="E35" s="89">
        <f>'3.Other Exp &amp; Taxes'!H23</f>
        <v>560350.69650000019</v>
      </c>
      <c r="F35" s="89">
        <f>'3.Other Exp &amp; Taxes'!I23</f>
        <v>588368.23132500018</v>
      </c>
      <c r="G35" s="89">
        <f>'3.Other Exp &amp; Taxes'!J23</f>
        <v>617786.64289125009</v>
      </c>
      <c r="H35" s="89">
        <f>'3.Other Exp &amp; Taxes'!K23</f>
        <v>648675.97503581271</v>
      </c>
    </row>
    <row r="36" spans="1:10">
      <c r="A36" s="189" t="s">
        <v>331</v>
      </c>
      <c r="B36" s="108">
        <f t="shared" ref="B36:H36" si="4">SUM(B28:B35)</f>
        <v>4660052</v>
      </c>
      <c r="C36" s="108">
        <f t="shared" si="4"/>
        <v>4893054.5999999996</v>
      </c>
      <c r="D36" s="108">
        <f t="shared" si="4"/>
        <v>5137707.33</v>
      </c>
      <c r="E36" s="108">
        <f t="shared" si="4"/>
        <v>5394592.6965000015</v>
      </c>
      <c r="F36" s="108">
        <f t="shared" si="4"/>
        <v>5664322.3313250011</v>
      </c>
      <c r="G36" s="108">
        <f t="shared" si="4"/>
        <v>5947538.4478912521</v>
      </c>
      <c r="H36" s="108">
        <f t="shared" si="4"/>
        <v>6244915.3702858146</v>
      </c>
    </row>
    <row r="37" spans="1:10">
      <c r="A37" s="102"/>
      <c r="B37" s="89"/>
      <c r="C37" s="89"/>
      <c r="D37" s="89"/>
      <c r="E37" s="89"/>
      <c r="F37" s="89"/>
      <c r="G37" s="89"/>
      <c r="H37" s="89"/>
    </row>
    <row r="38" spans="1:10">
      <c r="A38" s="189" t="s">
        <v>336</v>
      </c>
      <c r="B38" s="108">
        <f t="shared" ref="B38:H38" si="5">B25+B36</f>
        <v>60746547.144603617</v>
      </c>
      <c r="C38" s="108">
        <f t="shared" si="5"/>
        <v>71538626.363350108</v>
      </c>
      <c r="D38" s="108">
        <f t="shared" si="5"/>
        <v>77064446.988787964</v>
      </c>
      <c r="E38" s="108">
        <f t="shared" si="5"/>
        <v>82964003.110861272</v>
      </c>
      <c r="F38" s="108">
        <f t="shared" si="5"/>
        <v>89260853.72766991</v>
      </c>
      <c r="G38" s="108">
        <f t="shared" si="5"/>
        <v>95979979.398382246</v>
      </c>
      <c r="H38" s="108">
        <f t="shared" si="5"/>
        <v>103147865.50184667</v>
      </c>
    </row>
    <row r="39" spans="1:10">
      <c r="A39" s="102"/>
      <c r="B39" s="89"/>
      <c r="C39" s="89"/>
      <c r="D39" s="89"/>
      <c r="E39" s="89"/>
      <c r="F39" s="89"/>
      <c r="G39" s="89"/>
      <c r="H39" s="89"/>
    </row>
    <row r="40" spans="1:10" ht="28.5">
      <c r="A40" s="189" t="s">
        <v>137</v>
      </c>
      <c r="B40" s="108">
        <f t="shared" ref="B40:H40" si="6">B15-B38</f>
        <v>11662400.375396378</v>
      </c>
      <c r="C40" s="108">
        <f t="shared" si="6"/>
        <v>10415516.542249888</v>
      </c>
      <c r="D40" s="108">
        <f t="shared" si="6"/>
        <v>11380859.29649204</v>
      </c>
      <c r="E40" s="108">
        <f t="shared" si="6"/>
        <v>12416697.534802735</v>
      </c>
      <c r="F40" s="108">
        <f t="shared" si="6"/>
        <v>13527667.448703304</v>
      </c>
      <c r="G40" s="108">
        <f t="shared" si="6"/>
        <v>14718692.610156938</v>
      </c>
      <c r="H40" s="108">
        <f t="shared" si="6"/>
        <v>15995001.119134143</v>
      </c>
      <c r="J40" s="60">
        <f>B49+B42+B43</f>
        <v>9900871.3926962353</v>
      </c>
    </row>
    <row r="41" spans="1:10">
      <c r="A41" s="102"/>
      <c r="B41" s="89"/>
      <c r="C41" s="89"/>
      <c r="D41" s="89"/>
      <c r="E41" s="89"/>
      <c r="F41" s="89"/>
      <c r="G41" s="89"/>
      <c r="H41" s="89"/>
      <c r="J41">
        <f>'5.Closing Stock &amp; W Capital'!E56</f>
        <v>1184444.1459436936</v>
      </c>
    </row>
    <row r="42" spans="1:10">
      <c r="A42" s="267" t="s">
        <v>17</v>
      </c>
      <c r="B42" s="89">
        <f>'3.Other Exp &amp; Taxes'!C66</f>
        <v>2056770.2286839997</v>
      </c>
      <c r="C42" s="89">
        <f>'3.Other Exp &amp; Taxes'!D66</f>
        <v>2056770.2286839997</v>
      </c>
      <c r="D42" s="89">
        <f>'3.Other Exp &amp; Taxes'!E66</f>
        <v>2056770.2286839997</v>
      </c>
      <c r="E42" s="89">
        <f>'3.Other Exp &amp; Taxes'!F66</f>
        <v>2056770.2286839997</v>
      </c>
      <c r="F42" s="89">
        <f>'3.Other Exp &amp; Taxes'!G66</f>
        <v>2056770.2286839997</v>
      </c>
      <c r="G42" s="89">
        <f>'3.Other Exp &amp; Taxes'!H66</f>
        <v>2056770.2286839997</v>
      </c>
      <c r="H42" s="89">
        <f>'3.Other Exp &amp; Taxes'!I66</f>
        <v>2056770.2286839997</v>
      </c>
      <c r="J42" s="60">
        <f>J40+J41</f>
        <v>11085315.538639929</v>
      </c>
    </row>
    <row r="43" spans="1:10">
      <c r="A43" s="267" t="s">
        <v>138</v>
      </c>
      <c r="B43" s="89">
        <f>'3.Other Exp &amp; Taxes'!C86</f>
        <v>6000</v>
      </c>
      <c r="C43" s="89">
        <f>'3.Other Exp &amp; Taxes'!D86</f>
        <v>6000</v>
      </c>
      <c r="D43" s="89">
        <f>'3.Other Exp &amp; Taxes'!E86</f>
        <v>6000</v>
      </c>
      <c r="E43" s="89">
        <f>'3.Other Exp &amp; Taxes'!F86</f>
        <v>6000</v>
      </c>
      <c r="F43" s="89">
        <f>'3.Other Exp &amp; Taxes'!G86</f>
        <v>6000</v>
      </c>
      <c r="G43" s="89">
        <f>'3.Other Exp &amp; Taxes'!H86</f>
        <v>0</v>
      </c>
      <c r="H43" s="89">
        <f>'3.Other Exp &amp; Taxes'!I86</f>
        <v>0</v>
      </c>
    </row>
    <row r="44" spans="1:10">
      <c r="A44" s="102"/>
      <c r="B44" s="89"/>
      <c r="C44" s="89"/>
      <c r="D44" s="89"/>
      <c r="E44" s="89"/>
      <c r="F44" s="89"/>
      <c r="G44" s="89"/>
      <c r="H44" s="89"/>
    </row>
    <row r="45" spans="1:10">
      <c r="A45" s="189" t="s">
        <v>139</v>
      </c>
      <c r="B45" s="108">
        <f>B40-B42-B43</f>
        <v>9599630.1467123777</v>
      </c>
      <c r="C45" s="108">
        <f t="shared" ref="C45:H45" si="7">C40-C42-C43</f>
        <v>8352746.3135658884</v>
      </c>
      <c r="D45" s="108">
        <f t="shared" si="7"/>
        <v>9318089.0678080395</v>
      </c>
      <c r="E45" s="108">
        <f t="shared" si="7"/>
        <v>10353927.306118734</v>
      </c>
      <c r="F45" s="108">
        <f t="shared" si="7"/>
        <v>11464897.220019303</v>
      </c>
      <c r="G45" s="108">
        <f t="shared" si="7"/>
        <v>12661922.381472938</v>
      </c>
      <c r="H45" s="108">
        <f t="shared" si="7"/>
        <v>13938230.890450142</v>
      </c>
    </row>
    <row r="46" spans="1:10">
      <c r="A46" s="102"/>
      <c r="B46" s="89"/>
      <c r="C46" s="89"/>
      <c r="D46" s="89"/>
      <c r="E46" s="89"/>
      <c r="F46" s="89"/>
      <c r="G46" s="89"/>
      <c r="H46" s="89"/>
    </row>
    <row r="47" spans="1:10">
      <c r="A47" s="102" t="s">
        <v>24</v>
      </c>
      <c r="B47" s="89">
        <f>'8.Cash Flow '!C26+'8.Cash Flow '!C28</f>
        <v>1761528.9827001432</v>
      </c>
      <c r="C47" s="89">
        <f>'8.Cash Flow '!D26+'8.Cash Flow '!D28</f>
        <v>1826765.6101390766</v>
      </c>
      <c r="D47" s="89">
        <f>'8.Cash Flow '!E26+'8.Cash Flow '!E28</f>
        <v>1711925.6792042388</v>
      </c>
      <c r="E47" s="89">
        <f>'8.Cash Flow '!F26+'8.Cash Flow '!F28</f>
        <v>1579666.8575348286</v>
      </c>
      <c r="F47" s="89">
        <f>'8.Cash Flow '!G26+'8.Cash Flow '!G28</f>
        <v>1427568.105964083</v>
      </c>
      <c r="G47" s="89">
        <f>'8.Cash Flow '!H26+'8.Cash Flow '!H28</f>
        <v>1252887.2839600998</v>
      </c>
      <c r="H47" s="89">
        <f>'8.Cash Flow '!I26+'8.Cash Flow '!I28</f>
        <v>1052519.5503550996</v>
      </c>
    </row>
    <row r="48" spans="1:10">
      <c r="A48" s="102"/>
      <c r="B48" s="89"/>
      <c r="C48" s="89"/>
      <c r="D48" s="89"/>
      <c r="E48" s="89"/>
      <c r="F48" s="89"/>
      <c r="G48" s="89"/>
      <c r="H48" s="89"/>
    </row>
    <row r="49" spans="1:9">
      <c r="A49" s="102" t="s">
        <v>25</v>
      </c>
      <c r="B49" s="89">
        <f>B45-B47</f>
        <v>7838101.1640122347</v>
      </c>
      <c r="C49" s="89">
        <f t="shared" ref="C49:H49" si="8">C45-C47</f>
        <v>6525980.7034268118</v>
      </c>
      <c r="D49" s="89">
        <f t="shared" si="8"/>
        <v>7606163.3886038009</v>
      </c>
      <c r="E49" s="89">
        <f t="shared" si="8"/>
        <v>8774260.4485839047</v>
      </c>
      <c r="F49" s="89">
        <f t="shared" si="8"/>
        <v>10037329.11405522</v>
      </c>
      <c r="G49" s="89">
        <f t="shared" si="8"/>
        <v>11409035.097512837</v>
      </c>
      <c r="H49" s="89">
        <f t="shared" si="8"/>
        <v>12885711.340095043</v>
      </c>
    </row>
    <row r="50" spans="1:9">
      <c r="A50" s="102" t="s">
        <v>26</v>
      </c>
      <c r="B50" s="89">
        <f>'3.Other Exp &amp; Taxes'!B99</f>
        <v>1240675.8625810214</v>
      </c>
      <c r="C50" s="89">
        <f>'3.Other Exp &amp; Taxes'!C99</f>
        <v>1086304.1878808113</v>
      </c>
      <c r="D50" s="89">
        <f>'3.Other Exp &amp; Taxes'!D99</f>
        <v>1527216.280308628</v>
      </c>
      <c r="E50" s="89">
        <f>'3.Other Exp &amp; Taxes'!E99</f>
        <v>1968148.1274318253</v>
      </c>
      <c r="F50" s="89">
        <f>'3.Other Exp &amp; Taxes'!F99</f>
        <v>2414243.1360034384</v>
      </c>
      <c r="G50" s="89">
        <f>'3.Other Exp &amp; Taxes'!G99</f>
        <v>2871878.3560940889</v>
      </c>
      <c r="H50" s="89">
        <f>'3.Other Exp &amp; Taxes'!H99</f>
        <v>3342511.2678558463</v>
      </c>
    </row>
    <row r="51" spans="1:9">
      <c r="A51" s="189" t="s">
        <v>28</v>
      </c>
      <c r="B51" s="89">
        <f t="shared" ref="B51:H51" si="9">B49-B50</f>
        <v>6597425.3014312135</v>
      </c>
      <c r="C51" s="89">
        <f t="shared" si="9"/>
        <v>5439676.5155460006</v>
      </c>
      <c r="D51" s="89">
        <f t="shared" si="9"/>
        <v>6078947.1082951725</v>
      </c>
      <c r="E51" s="89">
        <f t="shared" si="9"/>
        <v>6806112.3211520799</v>
      </c>
      <c r="F51" s="89">
        <f t="shared" si="9"/>
        <v>7623085.9780517817</v>
      </c>
      <c r="G51" s="89">
        <f t="shared" si="9"/>
        <v>8537156.7414187491</v>
      </c>
      <c r="H51" s="89">
        <f t="shared" si="9"/>
        <v>9543200.0722391978</v>
      </c>
    </row>
    <row r="52" spans="1:9">
      <c r="A52" s="87"/>
      <c r="B52" s="105"/>
      <c r="C52" s="105"/>
      <c r="D52" s="105"/>
      <c r="E52" s="105"/>
      <c r="F52" s="105"/>
      <c r="G52" s="105"/>
      <c r="H52" s="105"/>
    </row>
    <row r="53" spans="1:9">
      <c r="A53" s="87" t="s">
        <v>529</v>
      </c>
      <c r="B53" s="105">
        <f>B51</f>
        <v>6597425.3014312135</v>
      </c>
      <c r="C53" s="105">
        <f t="shared" ref="C53:H53" si="10">B53+C51</f>
        <v>12037101.816977214</v>
      </c>
      <c r="D53" s="105">
        <f t="shared" si="10"/>
        <v>18116048.925272387</v>
      </c>
      <c r="E53" s="105">
        <f t="shared" si="10"/>
        <v>24922161.246424466</v>
      </c>
      <c r="F53" s="105">
        <f t="shared" si="10"/>
        <v>32545247.224476248</v>
      </c>
      <c r="G53" s="105">
        <f t="shared" si="10"/>
        <v>41082403.965894997</v>
      </c>
      <c r="H53" s="105">
        <f t="shared" si="10"/>
        <v>50625604.038134195</v>
      </c>
    </row>
    <row r="56" spans="1:9" ht="32.5" customHeight="1">
      <c r="A56" s="448" t="s">
        <v>420</v>
      </c>
      <c r="B56" s="448"/>
      <c r="C56" s="448"/>
      <c r="D56" s="448"/>
      <c r="E56" s="448"/>
      <c r="F56" s="448"/>
      <c r="G56" s="448"/>
      <c r="H56" s="448"/>
      <c r="I56" s="448"/>
    </row>
    <row r="58" spans="1:9">
      <c r="A58" s="258"/>
    </row>
  </sheetData>
  <mergeCells count="2">
    <mergeCell ref="A2:H2"/>
    <mergeCell ref="A56:I56"/>
  </mergeCells>
  <pageMargins left="0.7" right="0.7" top="0.75" bottom="0.75" header="0.3" footer="0.3"/>
  <pageSetup paperSize="7"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opLeftCell="A24" zoomScaleNormal="100" zoomScaleSheetLayoutView="80" workbookViewId="0">
      <selection activeCell="A4" sqref="A4:H48"/>
    </sheetView>
  </sheetViews>
  <sheetFormatPr defaultRowHeight="14.5"/>
  <cols>
    <col min="1" max="1" width="37.26953125" style="48" customWidth="1"/>
    <col min="2" max="8" width="10.453125" style="48" bestFit="1" customWidth="1"/>
    <col min="9" max="9" width="9.1796875" style="48"/>
    <col min="10" max="10" width="32.81640625" style="48" bestFit="1" customWidth="1"/>
    <col min="11" max="16" width="8.7265625" style="48" bestFit="1"/>
    <col min="17" max="17" width="10.1796875" style="48" bestFit="1" customWidth="1"/>
    <col min="18" max="256" width="9.1796875" style="48"/>
    <col min="257" max="257" width="37.26953125" style="48" customWidth="1"/>
    <col min="258" max="258" width="18.453125" style="48" bestFit="1" customWidth="1"/>
    <col min="259" max="262" width="12.453125" style="48" bestFit="1" customWidth="1"/>
    <col min="263" max="263" width="11.7265625" style="48" bestFit="1" customWidth="1"/>
    <col min="264" max="512" width="9.1796875" style="48"/>
    <col min="513" max="513" width="37.26953125" style="48" customWidth="1"/>
    <col min="514" max="514" width="18.453125" style="48" bestFit="1" customWidth="1"/>
    <col min="515" max="518" width="12.453125" style="48" bestFit="1" customWidth="1"/>
    <col min="519" max="519" width="11.7265625" style="48" bestFit="1" customWidth="1"/>
    <col min="520" max="768" width="9.1796875" style="48"/>
    <col min="769" max="769" width="37.26953125" style="48" customWidth="1"/>
    <col min="770" max="770" width="18.453125" style="48" bestFit="1" customWidth="1"/>
    <col min="771" max="774" width="12.453125" style="48" bestFit="1" customWidth="1"/>
    <col min="775" max="775" width="11.7265625" style="48" bestFit="1" customWidth="1"/>
    <col min="776" max="1024" width="9.1796875" style="48"/>
    <col min="1025" max="1025" width="37.26953125" style="48" customWidth="1"/>
    <col min="1026" max="1026" width="18.453125" style="48" bestFit="1" customWidth="1"/>
    <col min="1027" max="1030" width="12.453125" style="48" bestFit="1" customWidth="1"/>
    <col min="1031" max="1031" width="11.7265625" style="48" bestFit="1" customWidth="1"/>
    <col min="1032" max="1280" width="9.1796875" style="48"/>
    <col min="1281" max="1281" width="37.26953125" style="48" customWidth="1"/>
    <col min="1282" max="1282" width="18.453125" style="48" bestFit="1" customWidth="1"/>
    <col min="1283" max="1286" width="12.453125" style="48" bestFit="1" customWidth="1"/>
    <col min="1287" max="1287" width="11.7265625" style="48" bestFit="1" customWidth="1"/>
    <col min="1288" max="1536" width="9.1796875" style="48"/>
    <col min="1537" max="1537" width="37.26953125" style="48" customWidth="1"/>
    <col min="1538" max="1538" width="18.453125" style="48" bestFit="1" customWidth="1"/>
    <col min="1539" max="1542" width="12.453125" style="48" bestFit="1" customWidth="1"/>
    <col min="1543" max="1543" width="11.7265625" style="48" bestFit="1" customWidth="1"/>
    <col min="1544" max="1792" width="9.1796875" style="48"/>
    <col min="1793" max="1793" width="37.26953125" style="48" customWidth="1"/>
    <col min="1794" max="1794" width="18.453125" style="48" bestFit="1" customWidth="1"/>
    <col min="1795" max="1798" width="12.453125" style="48" bestFit="1" customWidth="1"/>
    <col min="1799" max="1799" width="11.7265625" style="48" bestFit="1" customWidth="1"/>
    <col min="1800" max="2048" width="9.1796875" style="48"/>
    <col min="2049" max="2049" width="37.26953125" style="48" customWidth="1"/>
    <col min="2050" max="2050" width="18.453125" style="48" bestFit="1" customWidth="1"/>
    <col min="2051" max="2054" width="12.453125" style="48" bestFit="1" customWidth="1"/>
    <col min="2055" max="2055" width="11.7265625" style="48" bestFit="1" customWidth="1"/>
    <col min="2056" max="2304" width="9.1796875" style="48"/>
    <col min="2305" max="2305" width="37.26953125" style="48" customWidth="1"/>
    <col min="2306" max="2306" width="18.453125" style="48" bestFit="1" customWidth="1"/>
    <col min="2307" max="2310" width="12.453125" style="48" bestFit="1" customWidth="1"/>
    <col min="2311" max="2311" width="11.7265625" style="48" bestFit="1" customWidth="1"/>
    <col min="2312" max="2560" width="9.1796875" style="48"/>
    <col min="2561" max="2561" width="37.26953125" style="48" customWidth="1"/>
    <col min="2562" max="2562" width="18.453125" style="48" bestFit="1" customWidth="1"/>
    <col min="2563" max="2566" width="12.453125" style="48" bestFit="1" customWidth="1"/>
    <col min="2567" max="2567" width="11.7265625" style="48" bestFit="1" customWidth="1"/>
    <col min="2568" max="2816" width="9.1796875" style="48"/>
    <col min="2817" max="2817" width="37.26953125" style="48" customWidth="1"/>
    <col min="2818" max="2818" width="18.453125" style="48" bestFit="1" customWidth="1"/>
    <col min="2819" max="2822" width="12.453125" style="48" bestFit="1" customWidth="1"/>
    <col min="2823" max="2823" width="11.7265625" style="48" bestFit="1" customWidth="1"/>
    <col min="2824" max="3072" width="9.1796875" style="48"/>
    <col min="3073" max="3073" width="37.26953125" style="48" customWidth="1"/>
    <col min="3074" max="3074" width="18.453125" style="48" bestFit="1" customWidth="1"/>
    <col min="3075" max="3078" width="12.453125" style="48" bestFit="1" customWidth="1"/>
    <col min="3079" max="3079" width="11.7265625" style="48" bestFit="1" customWidth="1"/>
    <col min="3080" max="3328" width="9.1796875" style="48"/>
    <col min="3329" max="3329" width="37.26953125" style="48" customWidth="1"/>
    <col min="3330" max="3330" width="18.453125" style="48" bestFit="1" customWidth="1"/>
    <col min="3331" max="3334" width="12.453125" style="48" bestFit="1" customWidth="1"/>
    <col min="3335" max="3335" width="11.7265625" style="48" bestFit="1" customWidth="1"/>
    <col min="3336" max="3584" width="9.1796875" style="48"/>
    <col min="3585" max="3585" width="37.26953125" style="48" customWidth="1"/>
    <col min="3586" max="3586" width="18.453125" style="48" bestFit="1" customWidth="1"/>
    <col min="3587" max="3590" width="12.453125" style="48" bestFit="1" customWidth="1"/>
    <col min="3591" max="3591" width="11.7265625" style="48" bestFit="1" customWidth="1"/>
    <col min="3592" max="3840" width="9.1796875" style="48"/>
    <col min="3841" max="3841" width="37.26953125" style="48" customWidth="1"/>
    <col min="3842" max="3842" width="18.453125" style="48" bestFit="1" customWidth="1"/>
    <col min="3843" max="3846" width="12.453125" style="48" bestFit="1" customWidth="1"/>
    <col min="3847" max="3847" width="11.7265625" style="48" bestFit="1" customWidth="1"/>
    <col min="3848" max="4096" width="9.1796875" style="48"/>
    <col min="4097" max="4097" width="37.26953125" style="48" customWidth="1"/>
    <col min="4098" max="4098" width="18.453125" style="48" bestFit="1" customWidth="1"/>
    <col min="4099" max="4102" width="12.453125" style="48" bestFit="1" customWidth="1"/>
    <col min="4103" max="4103" width="11.7265625" style="48" bestFit="1" customWidth="1"/>
    <col min="4104" max="4352" width="9.1796875" style="48"/>
    <col min="4353" max="4353" width="37.26953125" style="48" customWidth="1"/>
    <col min="4354" max="4354" width="18.453125" style="48" bestFit="1" customWidth="1"/>
    <col min="4355" max="4358" width="12.453125" style="48" bestFit="1" customWidth="1"/>
    <col min="4359" max="4359" width="11.7265625" style="48" bestFit="1" customWidth="1"/>
    <col min="4360" max="4608" width="9.1796875" style="48"/>
    <col min="4609" max="4609" width="37.26953125" style="48" customWidth="1"/>
    <col min="4610" max="4610" width="18.453125" style="48" bestFit="1" customWidth="1"/>
    <col min="4611" max="4614" width="12.453125" style="48" bestFit="1" customWidth="1"/>
    <col min="4615" max="4615" width="11.7265625" style="48" bestFit="1" customWidth="1"/>
    <col min="4616" max="4864" width="9.1796875" style="48"/>
    <col min="4865" max="4865" width="37.26953125" style="48" customWidth="1"/>
    <col min="4866" max="4866" width="18.453125" style="48" bestFit="1" customWidth="1"/>
    <col min="4867" max="4870" width="12.453125" style="48" bestFit="1" customWidth="1"/>
    <col min="4871" max="4871" width="11.7265625" style="48" bestFit="1" customWidth="1"/>
    <col min="4872" max="5120" width="9.1796875" style="48"/>
    <col min="5121" max="5121" width="37.26953125" style="48" customWidth="1"/>
    <col min="5122" max="5122" width="18.453125" style="48" bestFit="1" customWidth="1"/>
    <col min="5123" max="5126" width="12.453125" style="48" bestFit="1" customWidth="1"/>
    <col min="5127" max="5127" width="11.7265625" style="48" bestFit="1" customWidth="1"/>
    <col min="5128" max="5376" width="9.1796875" style="48"/>
    <col min="5377" max="5377" width="37.26953125" style="48" customWidth="1"/>
    <col min="5378" max="5378" width="18.453125" style="48" bestFit="1" customWidth="1"/>
    <col min="5379" max="5382" width="12.453125" style="48" bestFit="1" customWidth="1"/>
    <col min="5383" max="5383" width="11.7265625" style="48" bestFit="1" customWidth="1"/>
    <col min="5384" max="5632" width="9.1796875" style="48"/>
    <col min="5633" max="5633" width="37.26953125" style="48" customWidth="1"/>
    <col min="5634" max="5634" width="18.453125" style="48" bestFit="1" customWidth="1"/>
    <col min="5635" max="5638" width="12.453125" style="48" bestFit="1" customWidth="1"/>
    <col min="5639" max="5639" width="11.7265625" style="48" bestFit="1" customWidth="1"/>
    <col min="5640" max="5888" width="9.1796875" style="48"/>
    <col min="5889" max="5889" width="37.26953125" style="48" customWidth="1"/>
    <col min="5890" max="5890" width="18.453125" style="48" bestFit="1" customWidth="1"/>
    <col min="5891" max="5894" width="12.453125" style="48" bestFit="1" customWidth="1"/>
    <col min="5895" max="5895" width="11.7265625" style="48" bestFit="1" customWidth="1"/>
    <col min="5896" max="6144" width="9.1796875" style="48"/>
    <col min="6145" max="6145" width="37.26953125" style="48" customWidth="1"/>
    <col min="6146" max="6146" width="18.453125" style="48" bestFit="1" customWidth="1"/>
    <col min="6147" max="6150" width="12.453125" style="48" bestFit="1" customWidth="1"/>
    <col min="6151" max="6151" width="11.7265625" style="48" bestFit="1" customWidth="1"/>
    <col min="6152" max="6400" width="9.1796875" style="48"/>
    <col min="6401" max="6401" width="37.26953125" style="48" customWidth="1"/>
    <col min="6402" max="6402" width="18.453125" style="48" bestFit="1" customWidth="1"/>
    <col min="6403" max="6406" width="12.453125" style="48" bestFit="1" customWidth="1"/>
    <col min="6407" max="6407" width="11.7265625" style="48" bestFit="1" customWidth="1"/>
    <col min="6408" max="6656" width="9.1796875" style="48"/>
    <col min="6657" max="6657" width="37.26953125" style="48" customWidth="1"/>
    <col min="6658" max="6658" width="18.453125" style="48" bestFit="1" customWidth="1"/>
    <col min="6659" max="6662" width="12.453125" style="48" bestFit="1" customWidth="1"/>
    <col min="6663" max="6663" width="11.7265625" style="48" bestFit="1" customWidth="1"/>
    <col min="6664" max="6912" width="9.1796875" style="48"/>
    <col min="6913" max="6913" width="37.26953125" style="48" customWidth="1"/>
    <col min="6914" max="6914" width="18.453125" style="48" bestFit="1" customWidth="1"/>
    <col min="6915" max="6918" width="12.453125" style="48" bestFit="1" customWidth="1"/>
    <col min="6919" max="6919" width="11.7265625" style="48" bestFit="1" customWidth="1"/>
    <col min="6920" max="7168" width="9.1796875" style="48"/>
    <col min="7169" max="7169" width="37.26953125" style="48" customWidth="1"/>
    <col min="7170" max="7170" width="18.453125" style="48" bestFit="1" customWidth="1"/>
    <col min="7171" max="7174" width="12.453125" style="48" bestFit="1" customWidth="1"/>
    <col min="7175" max="7175" width="11.7265625" style="48" bestFit="1" customWidth="1"/>
    <col min="7176" max="7424" width="9.1796875" style="48"/>
    <col min="7425" max="7425" width="37.26953125" style="48" customWidth="1"/>
    <col min="7426" max="7426" width="18.453125" style="48" bestFit="1" customWidth="1"/>
    <col min="7427" max="7430" width="12.453125" style="48" bestFit="1" customWidth="1"/>
    <col min="7431" max="7431" width="11.7265625" style="48" bestFit="1" customWidth="1"/>
    <col min="7432" max="7680" width="9.1796875" style="48"/>
    <col min="7681" max="7681" width="37.26953125" style="48" customWidth="1"/>
    <col min="7682" max="7682" width="18.453125" style="48" bestFit="1" customWidth="1"/>
    <col min="7683" max="7686" width="12.453125" style="48" bestFit="1" customWidth="1"/>
    <col min="7687" max="7687" width="11.7265625" style="48" bestFit="1" customWidth="1"/>
    <col min="7688" max="7936" width="9.1796875" style="48"/>
    <col min="7937" max="7937" width="37.26953125" style="48" customWidth="1"/>
    <col min="7938" max="7938" width="18.453125" style="48" bestFit="1" customWidth="1"/>
    <col min="7939" max="7942" width="12.453125" style="48" bestFit="1" customWidth="1"/>
    <col min="7943" max="7943" width="11.7265625" style="48" bestFit="1" customWidth="1"/>
    <col min="7944" max="8192" width="9.1796875" style="48"/>
    <col min="8193" max="8193" width="37.26953125" style="48" customWidth="1"/>
    <col min="8194" max="8194" width="18.453125" style="48" bestFit="1" customWidth="1"/>
    <col min="8195" max="8198" width="12.453125" style="48" bestFit="1" customWidth="1"/>
    <col min="8199" max="8199" width="11.7265625" style="48" bestFit="1" customWidth="1"/>
    <col min="8200" max="8448" width="9.1796875" style="48"/>
    <col min="8449" max="8449" width="37.26953125" style="48" customWidth="1"/>
    <col min="8450" max="8450" width="18.453125" style="48" bestFit="1" customWidth="1"/>
    <col min="8451" max="8454" width="12.453125" style="48" bestFit="1" customWidth="1"/>
    <col min="8455" max="8455" width="11.7265625" style="48" bestFit="1" customWidth="1"/>
    <col min="8456" max="8704" width="9.1796875" style="48"/>
    <col min="8705" max="8705" width="37.26953125" style="48" customWidth="1"/>
    <col min="8706" max="8706" width="18.453125" style="48" bestFit="1" customWidth="1"/>
    <col min="8707" max="8710" width="12.453125" style="48" bestFit="1" customWidth="1"/>
    <col min="8711" max="8711" width="11.7265625" style="48" bestFit="1" customWidth="1"/>
    <col min="8712" max="8960" width="9.1796875" style="48"/>
    <col min="8961" max="8961" width="37.26953125" style="48" customWidth="1"/>
    <col min="8962" max="8962" width="18.453125" style="48" bestFit="1" customWidth="1"/>
    <col min="8963" max="8966" width="12.453125" style="48" bestFit="1" customWidth="1"/>
    <col min="8967" max="8967" width="11.7265625" style="48" bestFit="1" customWidth="1"/>
    <col min="8968" max="9216" width="9.1796875" style="48"/>
    <col min="9217" max="9217" width="37.26953125" style="48" customWidth="1"/>
    <col min="9218" max="9218" width="18.453125" style="48" bestFit="1" customWidth="1"/>
    <col min="9219" max="9222" width="12.453125" style="48" bestFit="1" customWidth="1"/>
    <col min="9223" max="9223" width="11.7265625" style="48" bestFit="1" customWidth="1"/>
    <col min="9224" max="9472" width="9.1796875" style="48"/>
    <col min="9473" max="9473" width="37.26953125" style="48" customWidth="1"/>
    <col min="9474" max="9474" width="18.453125" style="48" bestFit="1" customWidth="1"/>
    <col min="9475" max="9478" width="12.453125" style="48" bestFit="1" customWidth="1"/>
    <col min="9479" max="9479" width="11.7265625" style="48" bestFit="1" customWidth="1"/>
    <col min="9480" max="9728" width="9.1796875" style="48"/>
    <col min="9729" max="9729" width="37.26953125" style="48" customWidth="1"/>
    <col min="9730" max="9730" width="18.453125" style="48" bestFit="1" customWidth="1"/>
    <col min="9731" max="9734" width="12.453125" style="48" bestFit="1" customWidth="1"/>
    <col min="9735" max="9735" width="11.7265625" style="48" bestFit="1" customWidth="1"/>
    <col min="9736" max="9984" width="9.1796875" style="48"/>
    <col min="9985" max="9985" width="37.26953125" style="48" customWidth="1"/>
    <col min="9986" max="9986" width="18.453125" style="48" bestFit="1" customWidth="1"/>
    <col min="9987" max="9990" width="12.453125" style="48" bestFit="1" customWidth="1"/>
    <col min="9991" max="9991" width="11.7265625" style="48" bestFit="1" customWidth="1"/>
    <col min="9992" max="10240" width="9.1796875" style="48"/>
    <col min="10241" max="10241" width="37.26953125" style="48" customWidth="1"/>
    <col min="10242" max="10242" width="18.453125" style="48" bestFit="1" customWidth="1"/>
    <col min="10243" max="10246" width="12.453125" style="48" bestFit="1" customWidth="1"/>
    <col min="10247" max="10247" width="11.7265625" style="48" bestFit="1" customWidth="1"/>
    <col min="10248" max="10496" width="9.1796875" style="48"/>
    <col min="10497" max="10497" width="37.26953125" style="48" customWidth="1"/>
    <col min="10498" max="10498" width="18.453125" style="48" bestFit="1" customWidth="1"/>
    <col min="10499" max="10502" width="12.453125" style="48" bestFit="1" customWidth="1"/>
    <col min="10503" max="10503" width="11.7265625" style="48" bestFit="1" customWidth="1"/>
    <col min="10504" max="10752" width="9.1796875" style="48"/>
    <col min="10753" max="10753" width="37.26953125" style="48" customWidth="1"/>
    <col min="10754" max="10754" width="18.453125" style="48" bestFit="1" customWidth="1"/>
    <col min="10755" max="10758" width="12.453125" style="48" bestFit="1" customWidth="1"/>
    <col min="10759" max="10759" width="11.7265625" style="48" bestFit="1" customWidth="1"/>
    <col min="10760" max="11008" width="9.1796875" style="48"/>
    <col min="11009" max="11009" width="37.26953125" style="48" customWidth="1"/>
    <col min="11010" max="11010" width="18.453125" style="48" bestFit="1" customWidth="1"/>
    <col min="11011" max="11014" width="12.453125" style="48" bestFit="1" customWidth="1"/>
    <col min="11015" max="11015" width="11.7265625" style="48" bestFit="1" customWidth="1"/>
    <col min="11016" max="11264" width="9.1796875" style="48"/>
    <col min="11265" max="11265" width="37.26953125" style="48" customWidth="1"/>
    <col min="11266" max="11266" width="18.453125" style="48" bestFit="1" customWidth="1"/>
    <col min="11267" max="11270" width="12.453125" style="48" bestFit="1" customWidth="1"/>
    <col min="11271" max="11271" width="11.7265625" style="48" bestFit="1" customWidth="1"/>
    <col min="11272" max="11520" width="9.1796875" style="48"/>
    <col min="11521" max="11521" width="37.26953125" style="48" customWidth="1"/>
    <col min="11522" max="11522" width="18.453125" style="48" bestFit="1" customWidth="1"/>
    <col min="11523" max="11526" width="12.453125" style="48" bestFit="1" customWidth="1"/>
    <col min="11527" max="11527" width="11.7265625" style="48" bestFit="1" customWidth="1"/>
    <col min="11528" max="11776" width="9.1796875" style="48"/>
    <col min="11777" max="11777" width="37.26953125" style="48" customWidth="1"/>
    <col min="11778" max="11778" width="18.453125" style="48" bestFit="1" customWidth="1"/>
    <col min="11779" max="11782" width="12.453125" style="48" bestFit="1" customWidth="1"/>
    <col min="11783" max="11783" width="11.7265625" style="48" bestFit="1" customWidth="1"/>
    <col min="11784" max="12032" width="9.1796875" style="48"/>
    <col min="12033" max="12033" width="37.26953125" style="48" customWidth="1"/>
    <col min="12034" max="12034" width="18.453125" style="48" bestFit="1" customWidth="1"/>
    <col min="12035" max="12038" width="12.453125" style="48" bestFit="1" customWidth="1"/>
    <col min="12039" max="12039" width="11.7265625" style="48" bestFit="1" customWidth="1"/>
    <col min="12040" max="12288" width="9.1796875" style="48"/>
    <col min="12289" max="12289" width="37.26953125" style="48" customWidth="1"/>
    <col min="12290" max="12290" width="18.453125" style="48" bestFit="1" customWidth="1"/>
    <col min="12291" max="12294" width="12.453125" style="48" bestFit="1" customWidth="1"/>
    <col min="12295" max="12295" width="11.7265625" style="48" bestFit="1" customWidth="1"/>
    <col min="12296" max="12544" width="9.1796875" style="48"/>
    <col min="12545" max="12545" width="37.26953125" style="48" customWidth="1"/>
    <col min="12546" max="12546" width="18.453125" style="48" bestFit="1" customWidth="1"/>
    <col min="12547" max="12550" width="12.453125" style="48" bestFit="1" customWidth="1"/>
    <col min="12551" max="12551" width="11.7265625" style="48" bestFit="1" customWidth="1"/>
    <col min="12552" max="12800" width="9.1796875" style="48"/>
    <col min="12801" max="12801" width="37.26953125" style="48" customWidth="1"/>
    <col min="12802" max="12802" width="18.453125" style="48" bestFit="1" customWidth="1"/>
    <col min="12803" max="12806" width="12.453125" style="48" bestFit="1" customWidth="1"/>
    <col min="12807" max="12807" width="11.7265625" style="48" bestFit="1" customWidth="1"/>
    <col min="12808" max="13056" width="9.1796875" style="48"/>
    <col min="13057" max="13057" width="37.26953125" style="48" customWidth="1"/>
    <col min="13058" max="13058" width="18.453125" style="48" bestFit="1" customWidth="1"/>
    <col min="13059" max="13062" width="12.453125" style="48" bestFit="1" customWidth="1"/>
    <col min="13063" max="13063" width="11.7265625" style="48" bestFit="1" customWidth="1"/>
    <col min="13064" max="13312" width="9.1796875" style="48"/>
    <col min="13313" max="13313" width="37.26953125" style="48" customWidth="1"/>
    <col min="13314" max="13314" width="18.453125" style="48" bestFit="1" customWidth="1"/>
    <col min="13315" max="13318" width="12.453125" style="48" bestFit="1" customWidth="1"/>
    <col min="13319" max="13319" width="11.7265625" style="48" bestFit="1" customWidth="1"/>
    <col min="13320" max="13568" width="9.1796875" style="48"/>
    <col min="13569" max="13569" width="37.26953125" style="48" customWidth="1"/>
    <col min="13570" max="13570" width="18.453125" style="48" bestFit="1" customWidth="1"/>
    <col min="13571" max="13574" width="12.453125" style="48" bestFit="1" customWidth="1"/>
    <col min="13575" max="13575" width="11.7265625" style="48" bestFit="1" customWidth="1"/>
    <col min="13576" max="13824" width="9.1796875" style="48"/>
    <col min="13825" max="13825" width="37.26953125" style="48" customWidth="1"/>
    <col min="13826" max="13826" width="18.453125" style="48" bestFit="1" customWidth="1"/>
    <col min="13827" max="13830" width="12.453125" style="48" bestFit="1" customWidth="1"/>
    <col min="13831" max="13831" width="11.7265625" style="48" bestFit="1" customWidth="1"/>
    <col min="13832" max="14080" width="9.1796875" style="48"/>
    <col min="14081" max="14081" width="37.26953125" style="48" customWidth="1"/>
    <col min="14082" max="14082" width="18.453125" style="48" bestFit="1" customWidth="1"/>
    <col min="14083" max="14086" width="12.453125" style="48" bestFit="1" customWidth="1"/>
    <col min="14087" max="14087" width="11.7265625" style="48" bestFit="1" customWidth="1"/>
    <col min="14088" max="14336" width="9.1796875" style="48"/>
    <col min="14337" max="14337" width="37.26953125" style="48" customWidth="1"/>
    <col min="14338" max="14338" width="18.453125" style="48" bestFit="1" customWidth="1"/>
    <col min="14339" max="14342" width="12.453125" style="48" bestFit="1" customWidth="1"/>
    <col min="14343" max="14343" width="11.7265625" style="48" bestFit="1" customWidth="1"/>
    <col min="14344" max="14592" width="9.1796875" style="48"/>
    <col min="14593" max="14593" width="37.26953125" style="48" customWidth="1"/>
    <col min="14594" max="14594" width="18.453125" style="48" bestFit="1" customWidth="1"/>
    <col min="14595" max="14598" width="12.453125" style="48" bestFit="1" customWidth="1"/>
    <col min="14599" max="14599" width="11.7265625" style="48" bestFit="1" customWidth="1"/>
    <col min="14600" max="14848" width="9.1796875" style="48"/>
    <col min="14849" max="14849" width="37.26953125" style="48" customWidth="1"/>
    <col min="14850" max="14850" width="18.453125" style="48" bestFit="1" customWidth="1"/>
    <col min="14851" max="14854" width="12.453125" style="48" bestFit="1" customWidth="1"/>
    <col min="14855" max="14855" width="11.7265625" style="48" bestFit="1" customWidth="1"/>
    <col min="14856" max="15104" width="9.1796875" style="48"/>
    <col min="15105" max="15105" width="37.26953125" style="48" customWidth="1"/>
    <col min="15106" max="15106" width="18.453125" style="48" bestFit="1" customWidth="1"/>
    <col min="15107" max="15110" width="12.453125" style="48" bestFit="1" customWidth="1"/>
    <col min="15111" max="15111" width="11.7265625" style="48" bestFit="1" customWidth="1"/>
    <col min="15112" max="15360" width="9.1796875" style="48"/>
    <col min="15361" max="15361" width="37.26953125" style="48" customWidth="1"/>
    <col min="15362" max="15362" width="18.453125" style="48" bestFit="1" customWidth="1"/>
    <col min="15363" max="15366" width="12.453125" style="48" bestFit="1" customWidth="1"/>
    <col min="15367" max="15367" width="11.7265625" style="48" bestFit="1" customWidth="1"/>
    <col min="15368" max="15616" width="9.1796875" style="48"/>
    <col min="15617" max="15617" width="37.26953125" style="48" customWidth="1"/>
    <col min="15618" max="15618" width="18.453125" style="48" bestFit="1" customWidth="1"/>
    <col min="15619" max="15622" width="12.453125" style="48" bestFit="1" customWidth="1"/>
    <col min="15623" max="15623" width="11.7265625" style="48" bestFit="1" customWidth="1"/>
    <col min="15624" max="15872" width="9.1796875" style="48"/>
    <col min="15873" max="15873" width="37.26953125" style="48" customWidth="1"/>
    <col min="15874" max="15874" width="18.453125" style="48" bestFit="1" customWidth="1"/>
    <col min="15875" max="15878" width="12.453125" style="48" bestFit="1" customWidth="1"/>
    <col min="15879" max="15879" width="11.7265625" style="48" bestFit="1" customWidth="1"/>
    <col min="15880" max="16128" width="9.1796875" style="48"/>
    <col min="16129" max="16129" width="37.26953125" style="48" customWidth="1"/>
    <col min="16130" max="16130" width="18.453125" style="48" bestFit="1" customWidth="1"/>
    <col min="16131" max="16134" width="12.453125" style="48" bestFit="1" customWidth="1"/>
    <col min="16135" max="16135" width="11.7265625" style="48" bestFit="1" customWidth="1"/>
    <col min="16136" max="16384" width="9.1796875" style="48"/>
  </cols>
  <sheetData>
    <row r="1" spans="1:18">
      <c r="A1" s="431"/>
      <c r="B1" s="431"/>
      <c r="C1" s="431"/>
      <c r="D1" s="431"/>
      <c r="E1" s="431"/>
      <c r="F1" s="431"/>
    </row>
    <row r="2" spans="1:18" ht="17.5">
      <c r="A2" s="449" t="s">
        <v>583</v>
      </c>
      <c r="B2" s="414"/>
      <c r="C2" s="414"/>
      <c r="D2" s="414"/>
      <c r="E2" s="414"/>
      <c r="F2" s="414"/>
      <c r="G2" s="414"/>
      <c r="H2" s="414"/>
      <c r="I2" s="77"/>
    </row>
    <row r="3" spans="1:18">
      <c r="A3" s="78"/>
      <c r="B3" s="50"/>
      <c r="C3" s="50"/>
      <c r="D3" s="50"/>
      <c r="E3" s="50"/>
      <c r="F3" s="50"/>
    </row>
    <row r="4" spans="1:18">
      <c r="A4" s="111" t="s">
        <v>0</v>
      </c>
      <c r="B4" s="112" t="s">
        <v>2</v>
      </c>
      <c r="C4" s="112" t="s">
        <v>3</v>
      </c>
      <c r="D4" s="112" t="s">
        <v>4</v>
      </c>
      <c r="E4" s="112" t="s">
        <v>5</v>
      </c>
      <c r="F4" s="112" t="s">
        <v>6</v>
      </c>
      <c r="G4" s="113" t="s">
        <v>171</v>
      </c>
      <c r="H4" s="113" t="s">
        <v>170</v>
      </c>
    </row>
    <row r="5" spans="1:18" s="49" customFormat="1">
      <c r="A5" s="114"/>
      <c r="B5" s="115"/>
      <c r="C5" s="116"/>
      <c r="D5" s="116"/>
      <c r="E5" s="116"/>
      <c r="F5" s="116"/>
      <c r="G5" s="116"/>
      <c r="H5" s="116"/>
    </row>
    <row r="6" spans="1:18">
      <c r="A6" s="117" t="s">
        <v>49</v>
      </c>
      <c r="B6" s="118"/>
      <c r="C6" s="118"/>
      <c r="D6" s="118"/>
      <c r="E6" s="118"/>
      <c r="F6" s="118"/>
      <c r="G6" s="118"/>
      <c r="H6" s="118"/>
    </row>
    <row r="7" spans="1:18">
      <c r="A7" s="119" t="s">
        <v>50</v>
      </c>
      <c r="B7" s="120"/>
      <c r="C7" s="120"/>
      <c r="D7" s="120"/>
      <c r="E7" s="120"/>
      <c r="F7" s="120"/>
      <c r="G7" s="120"/>
      <c r="H7" s="120"/>
    </row>
    <row r="8" spans="1:18">
      <c r="A8" s="121" t="s">
        <v>253</v>
      </c>
      <c r="B8" s="122">
        <f>'8.Cash Flow '!C33</f>
        <v>9254760.3279429972</v>
      </c>
      <c r="C8" s="122">
        <f>'8.Cash Flow '!D33</f>
        <v>15466347.443509638</v>
      </c>
      <c r="D8" s="122">
        <f>'8.Cash Flow '!E33</f>
        <v>22153491.840524077</v>
      </c>
      <c r="E8" s="122">
        <f>'8.Cash Flow '!F33</f>
        <v>29383325.193455249</v>
      </c>
      <c r="F8" s="122">
        <f>'8.Cash Flow '!G33</f>
        <v>37222259.73950088</v>
      </c>
      <c r="G8" s="122">
        <f>'8.Cash Flow '!H33</f>
        <v>45735029.153645068</v>
      </c>
      <c r="H8" s="122">
        <f>'8.Cash Flow '!I33</f>
        <v>54989899.028865874</v>
      </c>
      <c r="K8" s="61"/>
      <c r="L8" s="61"/>
      <c r="M8" s="61"/>
      <c r="N8" s="61"/>
      <c r="O8" s="61"/>
      <c r="P8" s="61"/>
      <c r="Q8" s="61"/>
      <c r="R8" s="61"/>
    </row>
    <row r="9" spans="1:18">
      <c r="A9" s="123" t="s">
        <v>254</v>
      </c>
      <c r="B9" s="124"/>
      <c r="C9" s="124"/>
      <c r="D9" s="124"/>
      <c r="E9" s="124"/>
      <c r="F9" s="124"/>
      <c r="G9" s="124"/>
      <c r="H9" s="124"/>
      <c r="K9" s="61"/>
      <c r="L9" s="61"/>
      <c r="M9" s="61"/>
      <c r="N9" s="61"/>
      <c r="O9" s="61"/>
      <c r="P9" s="61"/>
      <c r="Q9" s="61"/>
      <c r="R9" s="61"/>
    </row>
    <row r="10" spans="1:18">
      <c r="A10" s="123" t="s">
        <v>622</v>
      </c>
      <c r="B10" s="124"/>
      <c r="C10" s="124"/>
      <c r="D10" s="124"/>
      <c r="E10" s="124"/>
      <c r="F10" s="124"/>
      <c r="G10" s="124"/>
      <c r="H10" s="124"/>
      <c r="K10" s="61"/>
      <c r="L10" s="61"/>
      <c r="M10" s="61"/>
      <c r="N10" s="61"/>
      <c r="O10" s="61"/>
      <c r="P10" s="61"/>
      <c r="Q10" s="61"/>
      <c r="R10" s="61"/>
    </row>
    <row r="11" spans="1:18">
      <c r="A11" s="119" t="s">
        <v>255</v>
      </c>
      <c r="B11" s="122">
        <f t="shared" ref="B11:H11" si="0">SUM(B8:B10)</f>
        <v>9254760.3279429972</v>
      </c>
      <c r="C11" s="122">
        <f t="shared" si="0"/>
        <v>15466347.443509638</v>
      </c>
      <c r="D11" s="122">
        <f t="shared" si="0"/>
        <v>22153491.840524077</v>
      </c>
      <c r="E11" s="122">
        <f t="shared" si="0"/>
        <v>29383325.193455249</v>
      </c>
      <c r="F11" s="122">
        <f t="shared" si="0"/>
        <v>37222259.73950088</v>
      </c>
      <c r="G11" s="122">
        <f t="shared" si="0"/>
        <v>45735029.153645068</v>
      </c>
      <c r="H11" s="122">
        <f t="shared" si="0"/>
        <v>54989899.028865874</v>
      </c>
    </row>
    <row r="12" spans="1:18">
      <c r="A12" s="119"/>
      <c r="B12" s="124"/>
      <c r="C12" s="124"/>
      <c r="D12" s="124"/>
      <c r="E12" s="124"/>
      <c r="F12" s="124"/>
      <c r="G12" s="124"/>
      <c r="H12" s="124"/>
      <c r="J12" s="61"/>
      <c r="K12" s="61"/>
      <c r="L12" s="61"/>
      <c r="M12" s="61"/>
      <c r="N12" s="61"/>
      <c r="O12" s="61"/>
      <c r="P12" s="61"/>
      <c r="Q12" s="61"/>
    </row>
    <row r="13" spans="1:18">
      <c r="A13" s="125" t="s">
        <v>256</v>
      </c>
      <c r="B13" s="124">
        <f>'3.Other Exp &amp; Taxes'!C65</f>
        <v>37491802.519999996</v>
      </c>
      <c r="C13" s="124">
        <f>'3.Other Exp &amp; Taxes'!D65</f>
        <v>35435032.291316003</v>
      </c>
      <c r="D13" s="124">
        <f>'3.Other Exp &amp; Taxes'!E65</f>
        <v>33378262.062632002</v>
      </c>
      <c r="E13" s="124">
        <f>'3.Other Exp &amp; Taxes'!F65</f>
        <v>31321491.833948001</v>
      </c>
      <c r="F13" s="124">
        <f>'3.Other Exp &amp; Taxes'!G65</f>
        <v>29264721.605264004</v>
      </c>
      <c r="G13" s="124">
        <f>'3.Other Exp &amp; Taxes'!H65</f>
        <v>27207951.376580007</v>
      </c>
      <c r="H13" s="124">
        <f>'3.Other Exp &amp; Taxes'!I65</f>
        <v>25151181.147896007</v>
      </c>
    </row>
    <row r="14" spans="1:18">
      <c r="A14" s="125" t="s">
        <v>257</v>
      </c>
      <c r="B14" s="124">
        <f>'3.Other Exp &amp; Taxes'!C66</f>
        <v>2056770.2286839997</v>
      </c>
      <c r="C14" s="124">
        <f>'3.Other Exp &amp; Taxes'!D66</f>
        <v>2056770.2286839997</v>
      </c>
      <c r="D14" s="124">
        <f>'3.Other Exp &amp; Taxes'!E66</f>
        <v>2056770.2286839997</v>
      </c>
      <c r="E14" s="124">
        <f>'3.Other Exp &amp; Taxes'!F66</f>
        <v>2056770.2286839997</v>
      </c>
      <c r="F14" s="124">
        <f>'3.Other Exp &amp; Taxes'!G66</f>
        <v>2056770.2286839997</v>
      </c>
      <c r="G14" s="124">
        <f>'3.Other Exp &amp; Taxes'!H66</f>
        <v>2056770.2286839997</v>
      </c>
      <c r="H14" s="124">
        <f>'3.Other Exp &amp; Taxes'!I66</f>
        <v>2056770.2286839997</v>
      </c>
      <c r="K14" s="61"/>
      <c r="L14" s="61"/>
      <c r="M14" s="61"/>
      <c r="N14" s="61"/>
      <c r="O14" s="61"/>
      <c r="P14" s="61"/>
      <c r="Q14" s="61"/>
    </row>
    <row r="15" spans="1:18" s="50" customFormat="1">
      <c r="A15" s="119" t="s">
        <v>202</v>
      </c>
      <c r="B15" s="122">
        <f t="shared" ref="B15:H15" si="1">B13-B14</f>
        <v>35435032.291315995</v>
      </c>
      <c r="C15" s="122">
        <f t="shared" si="1"/>
        <v>33378262.062632002</v>
      </c>
      <c r="D15" s="122">
        <f t="shared" si="1"/>
        <v>31321491.833948001</v>
      </c>
      <c r="E15" s="122">
        <f t="shared" si="1"/>
        <v>29264721.605264001</v>
      </c>
      <c r="F15" s="122">
        <f t="shared" si="1"/>
        <v>27207951.376580004</v>
      </c>
      <c r="G15" s="122">
        <f t="shared" si="1"/>
        <v>25151181.147896007</v>
      </c>
      <c r="H15" s="122">
        <f t="shared" si="1"/>
        <v>23094410.919212006</v>
      </c>
    </row>
    <row r="16" spans="1:18" s="50" customFormat="1">
      <c r="A16" s="119"/>
      <c r="B16" s="122"/>
      <c r="C16" s="122"/>
      <c r="D16" s="122"/>
      <c r="E16" s="122"/>
      <c r="F16" s="122"/>
      <c r="G16" s="122"/>
      <c r="H16" s="122"/>
    </row>
    <row r="17" spans="1:8" s="50" customFormat="1">
      <c r="A17" s="126"/>
      <c r="B17" s="122"/>
      <c r="C17" s="122"/>
      <c r="D17" s="122"/>
      <c r="E17" s="122"/>
      <c r="F17" s="122"/>
      <c r="G17" s="122"/>
      <c r="H17" s="122"/>
    </row>
    <row r="18" spans="1:8" s="50" customFormat="1">
      <c r="A18" s="119" t="s">
        <v>531</v>
      </c>
      <c r="B18" s="122">
        <f>'8.Cash Flow '!C20-'6.Cons Profit &amp; Loss'!B43</f>
        <v>24000</v>
      </c>
      <c r="C18" s="122">
        <f>B18-'6.Cons Profit &amp; Loss'!C43</f>
        <v>18000</v>
      </c>
      <c r="D18" s="122">
        <f>C18-'6.Cons Profit &amp; Loss'!D43</f>
        <v>12000</v>
      </c>
      <c r="E18" s="122">
        <f>D18-'6.Cons Profit &amp; Loss'!E43</f>
        <v>6000</v>
      </c>
      <c r="F18" s="122">
        <f>E18-'6.Cons Profit &amp; Loss'!F43</f>
        <v>0</v>
      </c>
      <c r="G18" s="122">
        <f>F18-'6.Cons Profit &amp; Loss'!G43</f>
        <v>0</v>
      </c>
      <c r="H18" s="122">
        <f>G18-'6.Cons Profit &amp; Loss'!H43</f>
        <v>0</v>
      </c>
    </row>
    <row r="19" spans="1:8">
      <c r="A19" s="125"/>
      <c r="B19" s="124"/>
      <c r="C19" s="124"/>
      <c r="D19" s="124"/>
      <c r="E19" s="124"/>
      <c r="F19" s="124"/>
      <c r="G19" s="124"/>
      <c r="H19" s="124"/>
    </row>
    <row r="20" spans="1:8">
      <c r="A20" s="126" t="s">
        <v>259</v>
      </c>
      <c r="B20" s="127">
        <f t="shared" ref="B20:H20" si="2">B11+B15+B17+B18</f>
        <v>44713792.619258992</v>
      </c>
      <c r="C20" s="127">
        <f t="shared" si="2"/>
        <v>48862609.50614164</v>
      </c>
      <c r="D20" s="127">
        <f t="shared" si="2"/>
        <v>53486983.674472079</v>
      </c>
      <c r="E20" s="127">
        <f t="shared" si="2"/>
        <v>58654046.79871925</v>
      </c>
      <c r="F20" s="127">
        <f t="shared" si="2"/>
        <v>64430211.11608088</v>
      </c>
      <c r="G20" s="127">
        <f t="shared" si="2"/>
        <v>70886210.301541075</v>
      </c>
      <c r="H20" s="127">
        <f t="shared" si="2"/>
        <v>78084309.948077887</v>
      </c>
    </row>
    <row r="21" spans="1:8">
      <c r="A21" s="114"/>
      <c r="B21" s="128"/>
      <c r="C21" s="128"/>
      <c r="D21" s="128"/>
      <c r="E21" s="128"/>
      <c r="F21" s="128"/>
      <c r="G21" s="128"/>
      <c r="H21" s="128"/>
    </row>
    <row r="22" spans="1:8">
      <c r="A22" s="117" t="s">
        <v>260</v>
      </c>
      <c r="B22" s="129"/>
      <c r="C22" s="129"/>
      <c r="D22" s="129"/>
      <c r="E22" s="129"/>
      <c r="F22" s="129"/>
      <c r="G22" s="129"/>
      <c r="H22" s="129"/>
    </row>
    <row r="23" spans="1:8">
      <c r="A23" s="119" t="s">
        <v>261</v>
      </c>
      <c r="B23" s="129"/>
      <c r="C23" s="129"/>
      <c r="D23" s="129"/>
      <c r="E23" s="129"/>
      <c r="F23" s="129"/>
      <c r="G23" s="129"/>
      <c r="H23" s="129"/>
    </row>
    <row r="24" spans="1:8">
      <c r="A24" s="123" t="s">
        <v>262</v>
      </c>
      <c r="B24" s="122"/>
      <c r="C24" s="122"/>
      <c r="D24" s="122"/>
      <c r="E24" s="122"/>
      <c r="F24" s="122"/>
      <c r="G24" s="122"/>
      <c r="H24" s="122"/>
    </row>
    <row r="25" spans="1:8">
      <c r="A25" s="123" t="s">
        <v>263</v>
      </c>
      <c r="B25" s="128"/>
      <c r="C25" s="128"/>
      <c r="D25" s="128"/>
      <c r="E25" s="128"/>
      <c r="F25" s="128"/>
      <c r="G25" s="128"/>
      <c r="H25" s="128"/>
    </row>
    <row r="26" spans="1:8" s="49" customFormat="1">
      <c r="A26" s="123" t="s">
        <v>264</v>
      </c>
      <c r="B26" s="122"/>
      <c r="C26" s="122"/>
      <c r="D26" s="122"/>
      <c r="E26" s="122"/>
      <c r="F26" s="122"/>
      <c r="G26" s="122"/>
      <c r="H26" s="122"/>
    </row>
    <row r="27" spans="1:8" s="49" customFormat="1">
      <c r="A27" s="119" t="s">
        <v>265</v>
      </c>
      <c r="B27" s="127">
        <f t="shared" ref="B27:H27" si="3">SUM(B24:B26)</f>
        <v>0</v>
      </c>
      <c r="C27" s="127">
        <f t="shared" si="3"/>
        <v>0</v>
      </c>
      <c r="D27" s="127">
        <f t="shared" si="3"/>
        <v>0</v>
      </c>
      <c r="E27" s="127">
        <f t="shared" si="3"/>
        <v>0</v>
      </c>
      <c r="F27" s="127">
        <f t="shared" si="3"/>
        <v>0</v>
      </c>
      <c r="G27" s="127">
        <f t="shared" si="3"/>
        <v>0</v>
      </c>
      <c r="H27" s="127">
        <f t="shared" si="3"/>
        <v>0</v>
      </c>
    </row>
    <row r="28" spans="1:8" s="49" customFormat="1">
      <c r="A28" s="119" t="s">
        <v>266</v>
      </c>
      <c r="B28" s="127">
        <f>'4.TL repayment sch'!G21</f>
        <v>10657661.407884089</v>
      </c>
      <c r="C28" s="127">
        <f>'4.TL repayment sch'!G33</f>
        <v>9366801.7792207301</v>
      </c>
      <c r="D28" s="127">
        <f>'4.TL repayment sch'!G45</f>
        <v>7912228.8392560026</v>
      </c>
      <c r="E28" s="127">
        <f>'4.TL repayment sch'!G57</f>
        <v>6273179.6423510965</v>
      </c>
      <c r="F28" s="127">
        <f>'4.TL repayment sch'!G69</f>
        <v>4426257.9816609472</v>
      </c>
      <c r="G28" s="127">
        <f>'4.TL repayment sch'!G81</f>
        <v>2345100.4257023823</v>
      </c>
      <c r="H28" s="127">
        <f>'[1]Term Loan'!J72+'[1]Term Loan'!S72</f>
        <v>0</v>
      </c>
    </row>
    <row r="29" spans="1:8" s="49" customFormat="1">
      <c r="A29" s="119" t="s">
        <v>267</v>
      </c>
      <c r="B29" s="127"/>
      <c r="C29" s="127"/>
      <c r="D29" s="127"/>
      <c r="E29" s="127"/>
      <c r="F29" s="127"/>
      <c r="G29" s="127"/>
      <c r="H29" s="127"/>
    </row>
    <row r="30" spans="1:8" s="49" customFormat="1">
      <c r="A30" s="119"/>
      <c r="B30" s="130"/>
      <c r="C30" s="130"/>
      <c r="D30" s="130"/>
      <c r="E30" s="130"/>
      <c r="F30" s="130"/>
      <c r="G30" s="130"/>
      <c r="H30" s="130"/>
    </row>
    <row r="31" spans="1:8">
      <c r="A31" s="126" t="s">
        <v>268</v>
      </c>
      <c r="B31" s="127">
        <f t="shared" ref="B31:H31" si="4">SUM(B27:B29)</f>
        <v>10657661.407884089</v>
      </c>
      <c r="C31" s="127">
        <f t="shared" si="4"/>
        <v>9366801.7792207301</v>
      </c>
      <c r="D31" s="127">
        <f t="shared" si="4"/>
        <v>7912228.8392560026</v>
      </c>
      <c r="E31" s="127">
        <f t="shared" si="4"/>
        <v>6273179.6423510965</v>
      </c>
      <c r="F31" s="127">
        <f t="shared" si="4"/>
        <v>4426257.9816609472</v>
      </c>
      <c r="G31" s="127">
        <f t="shared" si="4"/>
        <v>2345100.4257023823</v>
      </c>
      <c r="H31" s="127">
        <f t="shared" si="4"/>
        <v>0</v>
      </c>
    </row>
    <row r="32" spans="1:8">
      <c r="A32" s="114"/>
      <c r="B32" s="131"/>
      <c r="C32" s="131"/>
      <c r="D32" s="131"/>
      <c r="E32" s="131"/>
      <c r="F32" s="131"/>
      <c r="G32" s="131"/>
      <c r="H32" s="131"/>
    </row>
    <row r="33" spans="1:8">
      <c r="A33" s="125" t="s">
        <v>269</v>
      </c>
      <c r="B33" s="124">
        <f>'1.Project Cost and MOF'!E21</f>
        <v>4945624.3979436923</v>
      </c>
      <c r="C33" s="124">
        <f>B33</f>
        <v>4945624.3979436923</v>
      </c>
      <c r="D33" s="124">
        <f t="shared" ref="D33:H34" si="5">C33</f>
        <v>4945624.3979436923</v>
      </c>
      <c r="E33" s="124">
        <f t="shared" si="5"/>
        <v>4945624.3979436923</v>
      </c>
      <c r="F33" s="124">
        <f t="shared" si="5"/>
        <v>4945624.3979436923</v>
      </c>
      <c r="G33" s="124">
        <f t="shared" si="5"/>
        <v>4945624.3979436923</v>
      </c>
      <c r="H33" s="124">
        <f t="shared" si="5"/>
        <v>4945624.3979436923</v>
      </c>
    </row>
    <row r="34" spans="1:8">
      <c r="A34" s="125" t="s">
        <v>532</v>
      </c>
      <c r="B34" s="124">
        <f>'1.Project Cost and MOF'!E19</f>
        <v>22513081.511999998</v>
      </c>
      <c r="C34" s="124">
        <f>B34</f>
        <v>22513081.511999998</v>
      </c>
      <c r="D34" s="124">
        <f t="shared" si="5"/>
        <v>22513081.511999998</v>
      </c>
      <c r="E34" s="124">
        <f t="shared" si="5"/>
        <v>22513081.511999998</v>
      </c>
      <c r="F34" s="124">
        <f t="shared" si="5"/>
        <v>22513081.511999998</v>
      </c>
      <c r="G34" s="124">
        <f t="shared" si="5"/>
        <v>22513081.511999998</v>
      </c>
      <c r="H34" s="124">
        <f t="shared" si="5"/>
        <v>22513081.511999998</v>
      </c>
    </row>
    <row r="35" spans="1:8">
      <c r="A35" s="119" t="s">
        <v>270</v>
      </c>
      <c r="B35" s="124"/>
      <c r="C35" s="124"/>
      <c r="D35" s="124"/>
      <c r="E35" s="124"/>
      <c r="F35" s="124"/>
      <c r="G35" s="124"/>
      <c r="H35" s="124"/>
    </row>
    <row r="36" spans="1:8">
      <c r="A36" s="125" t="s">
        <v>271</v>
      </c>
      <c r="B36" s="124">
        <v>0</v>
      </c>
      <c r="C36" s="124">
        <f t="shared" ref="C36:H36" si="6">B39</f>
        <v>6597425.3014312135</v>
      </c>
      <c r="D36" s="124">
        <f t="shared" si="6"/>
        <v>12037101.816977214</v>
      </c>
      <c r="E36" s="124">
        <f t="shared" si="6"/>
        <v>18116048.925272387</v>
      </c>
      <c r="F36" s="124">
        <f t="shared" si="6"/>
        <v>24922161.246424466</v>
      </c>
      <c r="G36" s="124">
        <f t="shared" si="6"/>
        <v>32545247.224476248</v>
      </c>
      <c r="H36" s="124">
        <f t="shared" si="6"/>
        <v>41082403.965894997</v>
      </c>
    </row>
    <row r="37" spans="1:8">
      <c r="A37" s="125" t="s">
        <v>272</v>
      </c>
      <c r="B37" s="124">
        <f>'6.Cons Profit &amp; Loss'!B53</f>
        <v>6597425.3014312135</v>
      </c>
      <c r="C37" s="124">
        <f>'6.Cons Profit &amp; Loss'!C51</f>
        <v>5439676.5155460006</v>
      </c>
      <c r="D37" s="124">
        <f>'6.Cons Profit &amp; Loss'!D51</f>
        <v>6078947.1082951725</v>
      </c>
      <c r="E37" s="124">
        <f>'6.Cons Profit &amp; Loss'!E51</f>
        <v>6806112.3211520799</v>
      </c>
      <c r="F37" s="124">
        <f>'6.Cons Profit &amp; Loss'!F51</f>
        <v>7623085.9780517817</v>
      </c>
      <c r="G37" s="124">
        <f>'6.Cons Profit &amp; Loss'!G51</f>
        <v>8537156.7414187491</v>
      </c>
      <c r="H37" s="124">
        <f>'6.Cons Profit &amp; Loss'!H51</f>
        <v>9543200.0722391978</v>
      </c>
    </row>
    <row r="38" spans="1:8">
      <c r="A38" s="125" t="s">
        <v>273</v>
      </c>
      <c r="B38" s="124"/>
      <c r="C38" s="124"/>
      <c r="D38" s="124"/>
      <c r="E38" s="124"/>
      <c r="F38" s="124"/>
      <c r="G38" s="124"/>
      <c r="H38" s="124"/>
    </row>
    <row r="39" spans="1:8">
      <c r="A39" s="125" t="s">
        <v>274</v>
      </c>
      <c r="B39" s="124">
        <f t="shared" ref="B39:H39" si="7">B36+B37-B38</f>
        <v>6597425.3014312135</v>
      </c>
      <c r="C39" s="124">
        <f t="shared" si="7"/>
        <v>12037101.816977214</v>
      </c>
      <c r="D39" s="124">
        <f t="shared" si="7"/>
        <v>18116048.925272387</v>
      </c>
      <c r="E39" s="124">
        <f t="shared" si="7"/>
        <v>24922161.246424466</v>
      </c>
      <c r="F39" s="124">
        <f t="shared" si="7"/>
        <v>32545247.224476248</v>
      </c>
      <c r="G39" s="124">
        <f t="shared" si="7"/>
        <v>41082403.965894997</v>
      </c>
      <c r="H39" s="124">
        <f t="shared" si="7"/>
        <v>50625604.038134195</v>
      </c>
    </row>
    <row r="40" spans="1:8">
      <c r="A40" s="125"/>
      <c r="B40" s="129"/>
      <c r="C40" s="129"/>
      <c r="D40" s="129"/>
      <c r="E40" s="129"/>
      <c r="F40" s="129"/>
      <c r="G40" s="129"/>
      <c r="H40" s="129"/>
    </row>
    <row r="41" spans="1:8">
      <c r="A41" s="132" t="s">
        <v>275</v>
      </c>
      <c r="B41" s="133">
        <f t="shared" ref="B41:H41" si="8">B33+B39+B34</f>
        <v>34056131.211374909</v>
      </c>
      <c r="C41" s="133">
        <f t="shared" si="8"/>
        <v>39495807.726920903</v>
      </c>
      <c r="D41" s="133">
        <f t="shared" si="8"/>
        <v>45574754.835216075</v>
      </c>
      <c r="E41" s="133">
        <f t="shared" si="8"/>
        <v>52380867.156368151</v>
      </c>
      <c r="F41" s="133">
        <f t="shared" si="8"/>
        <v>60003953.134419933</v>
      </c>
      <c r="G41" s="133">
        <f t="shared" si="8"/>
        <v>68541109.875838682</v>
      </c>
      <c r="H41" s="133">
        <f t="shared" si="8"/>
        <v>78084309.948077887</v>
      </c>
    </row>
    <row r="42" spans="1:8">
      <c r="A42" s="114"/>
      <c r="B42" s="124"/>
      <c r="C42" s="124"/>
      <c r="D42" s="124"/>
      <c r="E42" s="124"/>
      <c r="F42" s="124"/>
      <c r="G42" s="124"/>
      <c r="H42" s="124"/>
    </row>
    <row r="43" spans="1:8">
      <c r="A43" s="126" t="s">
        <v>276</v>
      </c>
      <c r="B43" s="127">
        <f t="shared" ref="B43:H43" si="9">B31+B41</f>
        <v>44713792.619259</v>
      </c>
      <c r="C43" s="127">
        <f t="shared" si="9"/>
        <v>48862609.506141633</v>
      </c>
      <c r="D43" s="127">
        <f t="shared" si="9"/>
        <v>53486983.674472079</v>
      </c>
      <c r="E43" s="127">
        <f t="shared" si="9"/>
        <v>58654046.79871925</v>
      </c>
      <c r="F43" s="127">
        <f t="shared" si="9"/>
        <v>64430211.11608088</v>
      </c>
      <c r="G43" s="127">
        <f t="shared" si="9"/>
        <v>70886210.30154106</v>
      </c>
      <c r="H43" s="127">
        <f t="shared" si="9"/>
        <v>78084309.948077887</v>
      </c>
    </row>
    <row r="44" spans="1:8">
      <c r="A44" s="114"/>
      <c r="B44" s="134"/>
      <c r="C44" s="134"/>
      <c r="D44" s="134"/>
      <c r="E44" s="134"/>
      <c r="F44" s="134"/>
      <c r="G44" s="134"/>
      <c r="H44" s="134"/>
    </row>
    <row r="45" spans="1:8">
      <c r="A45" s="135" t="s">
        <v>277</v>
      </c>
      <c r="B45" s="136"/>
      <c r="C45" s="136"/>
      <c r="D45" s="136"/>
      <c r="E45" s="136"/>
      <c r="F45" s="136"/>
      <c r="G45" s="136"/>
      <c r="H45" s="136"/>
    </row>
    <row r="46" spans="1:8">
      <c r="A46" s="137" t="s">
        <v>278</v>
      </c>
      <c r="B46" s="138">
        <f t="shared" ref="B46:H46" si="10">B43-B20</f>
        <v>0</v>
      </c>
      <c r="C46" s="138">
        <f t="shared" si="10"/>
        <v>0</v>
      </c>
      <c r="D46" s="138">
        <f t="shared" si="10"/>
        <v>0</v>
      </c>
      <c r="E46" s="138">
        <f t="shared" si="10"/>
        <v>0</v>
      </c>
      <c r="F46" s="138">
        <f t="shared" si="10"/>
        <v>0</v>
      </c>
      <c r="G46" s="138">
        <f t="shared" si="10"/>
        <v>0</v>
      </c>
      <c r="H46" s="138">
        <f t="shared" si="10"/>
        <v>0</v>
      </c>
    </row>
    <row r="47" spans="1:8">
      <c r="A47" s="137"/>
      <c r="B47" s="138"/>
      <c r="C47" s="138"/>
      <c r="D47" s="138"/>
      <c r="E47" s="138"/>
      <c r="F47" s="138"/>
      <c r="G47" s="138"/>
      <c r="H47" s="138"/>
    </row>
    <row r="48" spans="1:8" ht="15" thickBot="1">
      <c r="A48" s="139"/>
      <c r="B48" s="140"/>
      <c r="C48" s="140"/>
      <c r="D48" s="140"/>
      <c r="E48" s="140"/>
      <c r="F48" s="140"/>
      <c r="G48" s="140"/>
      <c r="H48" s="140"/>
    </row>
    <row r="49" spans="1:9">
      <c r="B49" s="51"/>
      <c r="C49" s="51"/>
      <c r="D49" s="51"/>
      <c r="E49" s="51"/>
      <c r="F49" s="51"/>
      <c r="G49" s="51"/>
      <c r="H49" s="51"/>
    </row>
    <row r="50" spans="1:9" ht="39.65" customHeight="1">
      <c r="A50" s="450" t="s">
        <v>421</v>
      </c>
      <c r="B50" s="451"/>
      <c r="C50" s="451"/>
      <c r="D50" s="451"/>
      <c r="E50" s="451"/>
      <c r="F50" s="451"/>
      <c r="G50" s="451"/>
      <c r="H50" s="451"/>
      <c r="I50" s="45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6" right="0.6"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Normal="100" zoomScaleSheetLayoutView="80" workbookViewId="0">
      <selection activeCell="A4" sqref="A4:I33"/>
    </sheetView>
  </sheetViews>
  <sheetFormatPr defaultRowHeight="14.5"/>
  <cols>
    <col min="1" max="1" width="3.54296875" bestFit="1" customWidth="1"/>
    <col min="2" max="2" width="24.08984375" bestFit="1" customWidth="1"/>
    <col min="3" max="3" width="13.08984375" bestFit="1" customWidth="1"/>
    <col min="4" max="5" width="12" bestFit="1" customWidth="1"/>
    <col min="6" max="9" width="13.08984375" bestFit="1" customWidth="1"/>
  </cols>
  <sheetData>
    <row r="1" spans="1:10">
      <c r="A1" s="431"/>
      <c r="B1" s="431"/>
      <c r="C1" s="431"/>
      <c r="D1" s="431"/>
      <c r="E1" s="431"/>
      <c r="F1" s="431"/>
      <c r="G1" s="431"/>
    </row>
    <row r="2" spans="1:10" ht="17.5">
      <c r="A2" s="414" t="s">
        <v>584</v>
      </c>
      <c r="B2" s="414"/>
      <c r="C2" s="414"/>
      <c r="D2" s="414"/>
      <c r="E2" s="414"/>
      <c r="F2" s="414"/>
      <c r="G2" s="414"/>
      <c r="H2" s="414"/>
      <c r="I2" s="414"/>
      <c r="J2" s="77"/>
    </row>
    <row r="4" spans="1:10">
      <c r="A4" s="52" t="s">
        <v>234</v>
      </c>
      <c r="B4" s="52" t="s">
        <v>0</v>
      </c>
      <c r="C4" s="53" t="s">
        <v>2</v>
      </c>
      <c r="D4" s="53" t="s">
        <v>3</v>
      </c>
      <c r="E4" s="53" t="s">
        <v>4</v>
      </c>
      <c r="F4" s="53" t="s">
        <v>5</v>
      </c>
      <c r="G4" s="53" t="s">
        <v>6</v>
      </c>
      <c r="H4" s="53" t="s">
        <v>171</v>
      </c>
      <c r="I4" s="53" t="s">
        <v>170</v>
      </c>
    </row>
    <row r="5" spans="1:10">
      <c r="A5" s="35">
        <v>1</v>
      </c>
      <c r="B5" s="35" t="s">
        <v>7</v>
      </c>
      <c r="C5" s="36"/>
      <c r="D5" s="36"/>
      <c r="E5" s="36"/>
      <c r="F5" s="36"/>
      <c r="G5" s="36"/>
      <c r="H5" s="36"/>
      <c r="I5" s="36"/>
    </row>
    <row r="6" spans="1:10">
      <c r="A6" s="35"/>
      <c r="B6" s="37" t="s">
        <v>374</v>
      </c>
      <c r="C6" s="36">
        <f>'6.Cons Profit &amp; Loss'!B15</f>
        <v>72408947.519999996</v>
      </c>
      <c r="D6" s="36">
        <f>'6.Cons Profit &amp; Loss'!C15</f>
        <v>81954142.905599996</v>
      </c>
      <c r="E6" s="36">
        <f>'6.Cons Profit &amp; Loss'!D15</f>
        <v>88445306.285280004</v>
      </c>
      <c r="F6" s="36">
        <f>'6.Cons Profit &amp; Loss'!E15</f>
        <v>95380700.645664006</v>
      </c>
      <c r="G6" s="36">
        <f>'6.Cons Profit &amp; Loss'!F15</f>
        <v>102788521.17637321</v>
      </c>
      <c r="H6" s="36">
        <f>'6.Cons Profit &amp; Loss'!G15</f>
        <v>110698672.00853918</v>
      </c>
      <c r="I6" s="36">
        <f>'6.Cons Profit &amp; Loss'!H15</f>
        <v>119142866.62098081</v>
      </c>
    </row>
    <row r="7" spans="1:10">
      <c r="A7" s="35">
        <v>2</v>
      </c>
      <c r="B7" s="35" t="s">
        <v>235</v>
      </c>
      <c r="C7" s="36">
        <f>'1.Project Cost and MOF'!E21</f>
        <v>4945624.3979436923</v>
      </c>
      <c r="D7" s="36"/>
      <c r="E7" s="36"/>
      <c r="F7" s="36"/>
      <c r="G7" s="36"/>
      <c r="H7" s="36"/>
      <c r="I7" s="36"/>
    </row>
    <row r="8" spans="1:10">
      <c r="A8" s="35"/>
      <c r="B8" s="35" t="s">
        <v>296</v>
      </c>
      <c r="C8" s="36"/>
      <c r="D8" s="36"/>
      <c r="E8" s="36"/>
      <c r="F8" s="36"/>
      <c r="G8" s="36"/>
      <c r="H8" s="36"/>
      <c r="I8" s="36"/>
    </row>
    <row r="9" spans="1:10">
      <c r="A9" s="35">
        <v>3</v>
      </c>
      <c r="B9" s="35" t="str">
        <f>'7.Balance Sheet'!A34</f>
        <v>Smart Grant -in-Aid</v>
      </c>
      <c r="C9" s="36">
        <f>'1.Project Cost and MOF'!E19</f>
        <v>22513081.511999998</v>
      </c>
      <c r="D9" s="36"/>
      <c r="E9" s="36"/>
      <c r="F9" s="36"/>
      <c r="G9" s="36"/>
      <c r="H9" s="36"/>
      <c r="I9" s="36"/>
    </row>
    <row r="10" spans="1:10">
      <c r="A10" s="35">
        <v>4</v>
      </c>
      <c r="B10" s="35" t="s">
        <v>236</v>
      </c>
      <c r="C10" s="36">
        <f>'1.Project Cost and MOF'!E20</f>
        <v>11247540.755999999</v>
      </c>
      <c r="D10" s="36"/>
      <c r="E10" s="36"/>
      <c r="F10" s="36"/>
      <c r="G10" s="36"/>
      <c r="H10" s="36"/>
      <c r="I10" s="36"/>
    </row>
    <row r="11" spans="1:10">
      <c r="A11" s="35">
        <v>5</v>
      </c>
      <c r="B11" s="35" t="s">
        <v>237</v>
      </c>
      <c r="C11" s="36">
        <f>'5.Closing Stock &amp; W Capital'!E55*75%</f>
        <v>3553332.4378310805</v>
      </c>
      <c r="D11" s="36">
        <f>'5.Closing Stock &amp; W Capital'!F55</f>
        <v>5144277.1080815578</v>
      </c>
      <c r="E11" s="36">
        <f>'5.Closing Stock &amp; W Capital'!G55</f>
        <v>5551555.2778026862</v>
      </c>
      <c r="F11" s="36">
        <f>'5.Closing Stock &amp; W Capital'!H55</f>
        <v>5986700.5717257233</v>
      </c>
      <c r="G11" s="36">
        <f>'5.Closing Stock &amp; W Capital'!I55</f>
        <v>6451481.5068465564</v>
      </c>
      <c r="H11" s="36">
        <f>'5.Closing Stock &amp; W Capital'!J55</f>
        <v>6947773.7840501582</v>
      </c>
      <c r="I11" s="36">
        <f>'5.Closing Stock &amp; W Capital'!K55</f>
        <v>7477566.5852070041</v>
      </c>
    </row>
    <row r="12" spans="1:10">
      <c r="A12" s="35"/>
      <c r="B12" s="35" t="s">
        <v>238</v>
      </c>
      <c r="C12" s="38">
        <f t="shared" ref="C12:I12" si="0">SUM(C6:C11)</f>
        <v>114668526.62377475</v>
      </c>
      <c r="D12" s="38">
        <f t="shared" si="0"/>
        <v>87098420.013681561</v>
      </c>
      <c r="E12" s="38">
        <f t="shared" si="0"/>
        <v>93996861.563082695</v>
      </c>
      <c r="F12" s="38">
        <f t="shared" si="0"/>
        <v>101367401.21738973</v>
      </c>
      <c r="G12" s="38">
        <f t="shared" si="0"/>
        <v>109240002.68321978</v>
      </c>
      <c r="H12" s="38">
        <f t="shared" si="0"/>
        <v>117646445.79258934</v>
      </c>
      <c r="I12" s="38">
        <f t="shared" si="0"/>
        <v>126620433.20618781</v>
      </c>
    </row>
    <row r="13" spans="1:10">
      <c r="A13" s="452" t="s">
        <v>239</v>
      </c>
      <c r="B13" s="452"/>
      <c r="C13" s="39"/>
      <c r="D13" s="39"/>
      <c r="E13" s="39"/>
      <c r="F13" s="39"/>
      <c r="G13" s="39"/>
      <c r="H13" s="39"/>
      <c r="I13" s="39"/>
    </row>
    <row r="14" spans="1:10">
      <c r="A14" s="35">
        <v>1</v>
      </c>
      <c r="B14" s="35" t="s">
        <v>240</v>
      </c>
      <c r="C14" s="39"/>
      <c r="D14" s="39"/>
      <c r="E14" s="39"/>
      <c r="F14" s="39"/>
      <c r="G14" s="39"/>
      <c r="H14" s="39"/>
      <c r="I14" s="39"/>
    </row>
    <row r="15" spans="1:10">
      <c r="A15" s="40" t="s">
        <v>241</v>
      </c>
      <c r="B15" s="39" t="str">
        <f>'[1]Total Cost of Project'!C3</f>
        <v>Land and Building</v>
      </c>
      <c r="C15" s="41">
        <f>'1.Project Cost and MOF'!D5</f>
        <v>10014584.52</v>
      </c>
      <c r="D15" s="41"/>
      <c r="E15" s="41"/>
      <c r="F15" s="41"/>
      <c r="G15" s="41"/>
      <c r="H15" s="41"/>
      <c r="I15" s="41"/>
    </row>
    <row r="16" spans="1:10">
      <c r="A16" s="40" t="s">
        <v>242</v>
      </c>
      <c r="B16" s="42" t="str">
        <f>'[1]Total Cost of Project'!C4</f>
        <v>Machinery and Equipment</v>
      </c>
      <c r="C16" s="41">
        <f>'1.Project Cost and MOF'!D6</f>
        <v>27477218</v>
      </c>
      <c r="D16" s="41"/>
      <c r="E16" s="41"/>
      <c r="F16" s="41"/>
      <c r="G16" s="41"/>
      <c r="H16" s="41"/>
      <c r="I16" s="41"/>
    </row>
    <row r="17" spans="1:9">
      <c r="A17" s="40" t="s">
        <v>279</v>
      </c>
      <c r="B17" s="42" t="s">
        <v>338</v>
      </c>
      <c r="C17" s="41">
        <f>'1.Project Cost and MOF'!D7</f>
        <v>0</v>
      </c>
      <c r="D17" s="41"/>
      <c r="E17" s="41"/>
      <c r="F17" s="41"/>
      <c r="G17" s="41"/>
      <c r="H17" s="41"/>
      <c r="I17" s="41"/>
    </row>
    <row r="18" spans="1:9">
      <c r="A18" s="40" t="s">
        <v>281</v>
      </c>
      <c r="B18" s="42" t="s">
        <v>340</v>
      </c>
      <c r="C18" s="41">
        <f>'1.Project Cost and MOF'!D8</f>
        <v>0</v>
      </c>
      <c r="D18" s="41"/>
      <c r="E18" s="41"/>
      <c r="F18" s="41"/>
      <c r="G18" s="41"/>
      <c r="H18" s="41"/>
      <c r="I18" s="41"/>
    </row>
    <row r="19" spans="1:9">
      <c r="A19" s="40" t="s">
        <v>341</v>
      </c>
      <c r="B19" s="42" t="s">
        <v>280</v>
      </c>
      <c r="C19" s="41">
        <f>'1.Project Cost and MOF'!D9</f>
        <v>0</v>
      </c>
      <c r="D19" s="36"/>
      <c r="E19" s="36"/>
      <c r="F19" s="36"/>
      <c r="G19" s="36"/>
      <c r="H19" s="36"/>
      <c r="I19" s="36"/>
    </row>
    <row r="20" spans="1:9">
      <c r="A20" s="40" t="s">
        <v>342</v>
      </c>
      <c r="B20" s="42" t="s">
        <v>282</v>
      </c>
      <c r="C20" s="41">
        <f>'1.Project Cost and MOF'!D10</f>
        <v>30000</v>
      </c>
      <c r="D20" s="36"/>
      <c r="E20" s="36"/>
      <c r="F20" s="36"/>
      <c r="G20" s="36"/>
      <c r="H20" s="36"/>
      <c r="I20" s="36"/>
    </row>
    <row r="21" spans="1:9">
      <c r="A21" s="35">
        <v>2</v>
      </c>
      <c r="B21" s="35" t="s">
        <v>243</v>
      </c>
      <c r="C21" s="39"/>
      <c r="D21" s="39"/>
      <c r="E21" s="39"/>
      <c r="F21" s="39"/>
      <c r="G21" s="39"/>
      <c r="H21" s="39"/>
      <c r="I21" s="39"/>
    </row>
    <row r="22" spans="1:9">
      <c r="A22" s="40" t="s">
        <v>241</v>
      </c>
      <c r="B22" s="39" t="s">
        <v>316</v>
      </c>
      <c r="C22" s="66">
        <f>'6.Cons Profit &amp; Loss'!B25</f>
        <v>56086495.144603617</v>
      </c>
      <c r="D22" s="66">
        <f>'6.Cons Profit &amp; Loss'!C25</f>
        <v>66645571.763350114</v>
      </c>
      <c r="E22" s="66">
        <f>'6.Cons Profit &amp; Loss'!D25</f>
        <v>71926739.658787966</v>
      </c>
      <c r="F22" s="66">
        <f>'6.Cons Profit &amp; Loss'!E25</f>
        <v>77569410.414361268</v>
      </c>
      <c r="G22" s="66">
        <f>'6.Cons Profit &amp; Loss'!F25</f>
        <v>83596531.396344915</v>
      </c>
      <c r="H22" s="66">
        <f>'6.Cons Profit &amp; Loss'!G25</f>
        <v>90032440.950490996</v>
      </c>
      <c r="I22" s="66">
        <f>'6.Cons Profit &amp; Loss'!H25</f>
        <v>96902950.131560862</v>
      </c>
    </row>
    <row r="23" spans="1:9">
      <c r="A23" s="40" t="s">
        <v>242</v>
      </c>
      <c r="B23" s="39" t="s">
        <v>314</v>
      </c>
      <c r="C23" s="36">
        <f>'6.Cons Profit &amp; Loss'!B36</f>
        <v>4660052</v>
      </c>
      <c r="D23" s="36">
        <f>'6.Cons Profit &amp; Loss'!C36</f>
        <v>4893054.5999999996</v>
      </c>
      <c r="E23" s="36">
        <f>'6.Cons Profit &amp; Loss'!D36</f>
        <v>5137707.33</v>
      </c>
      <c r="F23" s="36">
        <f>'6.Cons Profit &amp; Loss'!E36</f>
        <v>5394592.6965000015</v>
      </c>
      <c r="G23" s="36">
        <f>'6.Cons Profit &amp; Loss'!F36</f>
        <v>5664322.3313250011</v>
      </c>
      <c r="H23" s="36">
        <f>'6.Cons Profit &amp; Loss'!G36</f>
        <v>5947538.4478912521</v>
      </c>
      <c r="I23" s="36">
        <f>'6.Cons Profit &amp; Loss'!H36</f>
        <v>6244915.3702858146</v>
      </c>
    </row>
    <row r="24" spans="1:9">
      <c r="A24" s="43">
        <v>3</v>
      </c>
      <c r="B24" s="35" t="s">
        <v>530</v>
      </c>
      <c r="C24" s="36"/>
      <c r="D24" s="36"/>
      <c r="E24" s="36"/>
      <c r="F24" s="36"/>
      <c r="G24" s="36"/>
      <c r="H24" s="36"/>
      <c r="I24" s="36"/>
    </row>
    <row r="25" spans="1:9">
      <c r="A25" s="40"/>
      <c r="B25" s="39" t="s">
        <v>244</v>
      </c>
      <c r="C25" s="36">
        <f>SUM('4.TL repayment sch'!E10:E21)</f>
        <v>589879.34811590938</v>
      </c>
      <c r="D25" s="36">
        <f>SUM('4.TL repayment sch'!E22:E33)</f>
        <v>1290859.6286633562</v>
      </c>
      <c r="E25" s="36">
        <f>SUM('4.TL repayment sch'!E34:E45)</f>
        <v>1454572.9399647294</v>
      </c>
      <c r="F25" s="36">
        <f>SUM('4.TL repayment sch'!E46:E57)</f>
        <v>1639049.1969049042</v>
      </c>
      <c r="G25" s="36">
        <f>SUM('4.TL repayment sch'!E58:E69)</f>
        <v>1846921.66069015</v>
      </c>
      <c r="H25" s="36">
        <f>SUM('4.TL repayment sch'!E70:E81)</f>
        <v>2081157.5559585656</v>
      </c>
      <c r="I25" s="36">
        <f>SUM('4.TL repayment sch'!E82:E93)</f>
        <v>2345100.425702387</v>
      </c>
    </row>
    <row r="26" spans="1:9">
      <c r="A26" s="40"/>
      <c r="B26" s="39" t="s">
        <v>245</v>
      </c>
      <c r="C26" s="36">
        <f>SUM('4.TL repayment sch'!D10:D21)</f>
        <v>1335129.0901604136</v>
      </c>
      <c r="D26" s="36">
        <f>SUM('4.TL repayment sch'!D22:D33)</f>
        <v>1209452.3571692896</v>
      </c>
      <c r="E26" s="36">
        <f>SUM('4.TL repayment sch'!D34:D45)</f>
        <v>1045739.0458679165</v>
      </c>
      <c r="F26" s="36">
        <f>SUM('4.TL repayment sch'!D46:D57)</f>
        <v>861262.7889277417</v>
      </c>
      <c r="G26" s="36">
        <f>SUM('4.TL repayment sch'!D58:D69)</f>
        <v>653390.32514249627</v>
      </c>
      <c r="H26" s="36">
        <f>SUM('4.TL repayment sch'!D70:D81)</f>
        <v>419154.4298740807</v>
      </c>
      <c r="I26" s="36">
        <f>SUM('4.TL repayment sch'!D82:D93)</f>
        <v>155211.56013025914</v>
      </c>
    </row>
    <row r="27" spans="1:9">
      <c r="A27" s="40"/>
      <c r="B27" s="39" t="s">
        <v>246</v>
      </c>
      <c r="C27" s="36">
        <f t="shared" ref="C27:I27" si="1">C11</f>
        <v>3553332.4378310805</v>
      </c>
      <c r="D27" s="36">
        <f t="shared" si="1"/>
        <v>5144277.1080815578</v>
      </c>
      <c r="E27" s="36">
        <f t="shared" si="1"/>
        <v>5551555.2778026862</v>
      </c>
      <c r="F27" s="36">
        <f t="shared" si="1"/>
        <v>5986700.5717257233</v>
      </c>
      <c r="G27" s="36">
        <f t="shared" si="1"/>
        <v>6451481.5068465564</v>
      </c>
      <c r="H27" s="36">
        <f t="shared" si="1"/>
        <v>6947773.7840501582</v>
      </c>
      <c r="I27" s="36">
        <f t="shared" si="1"/>
        <v>7477566.5852070041</v>
      </c>
    </row>
    <row r="28" spans="1:9">
      <c r="A28" s="40"/>
      <c r="B28" s="39" t="s">
        <v>247</v>
      </c>
      <c r="C28" s="44">
        <f t="shared" ref="C28:I28" si="2">C27*12%</f>
        <v>426399.89253972966</v>
      </c>
      <c r="D28" s="44">
        <f t="shared" si="2"/>
        <v>617313.25296978687</v>
      </c>
      <c r="E28" s="44">
        <f t="shared" si="2"/>
        <v>666186.63333632227</v>
      </c>
      <c r="F28" s="44">
        <f t="shared" si="2"/>
        <v>718404.06860708678</v>
      </c>
      <c r="G28" s="44">
        <f t="shared" si="2"/>
        <v>774177.78082158673</v>
      </c>
      <c r="H28" s="44">
        <f t="shared" si="2"/>
        <v>833732.85408601898</v>
      </c>
      <c r="I28" s="44">
        <f t="shared" si="2"/>
        <v>897307.99022484047</v>
      </c>
    </row>
    <row r="29" spans="1:9">
      <c r="A29" s="35">
        <v>4</v>
      </c>
      <c r="B29" s="35" t="s">
        <v>248</v>
      </c>
      <c r="C29" s="36">
        <f>'6.Cons Profit &amp; Loss'!B50</f>
        <v>1240675.8625810214</v>
      </c>
      <c r="D29" s="36">
        <f>'6.Cons Profit &amp; Loss'!C50</f>
        <v>1086304.1878808113</v>
      </c>
      <c r="E29" s="36">
        <f>'6.Cons Profit &amp; Loss'!D50</f>
        <v>1527216.280308628</v>
      </c>
      <c r="F29" s="36">
        <f>'6.Cons Profit &amp; Loss'!E50</f>
        <v>1968148.1274318253</v>
      </c>
      <c r="G29" s="36">
        <f>'6.Cons Profit &amp; Loss'!F50</f>
        <v>2414243.1360034384</v>
      </c>
      <c r="H29" s="36">
        <f>'6.Cons Profit &amp; Loss'!G50</f>
        <v>2871878.3560940889</v>
      </c>
      <c r="I29" s="36">
        <f>'6.Cons Profit &amp; Loss'!H50</f>
        <v>3342511.2678558463</v>
      </c>
    </row>
    <row r="30" spans="1:9">
      <c r="A30" s="35"/>
      <c r="B30" s="35" t="s">
        <v>249</v>
      </c>
      <c r="C30" s="45">
        <f t="shared" ref="C30:I30" si="3">SUM(C15:C29)</f>
        <v>105413766.29583175</v>
      </c>
      <c r="D30" s="45">
        <f t="shared" si="3"/>
        <v>80886832.89811492</v>
      </c>
      <c r="E30" s="45">
        <f t="shared" si="3"/>
        <v>87309717.166068256</v>
      </c>
      <c r="F30" s="45">
        <f t="shared" si="3"/>
        <v>94137567.864458561</v>
      </c>
      <c r="G30" s="45">
        <f t="shared" si="3"/>
        <v>101401068.13717414</v>
      </c>
      <c r="H30" s="45">
        <f t="shared" si="3"/>
        <v>109133676.37844515</v>
      </c>
      <c r="I30" s="45">
        <f t="shared" si="3"/>
        <v>117365563.33096701</v>
      </c>
    </row>
    <row r="31" spans="1:9">
      <c r="A31" s="35"/>
      <c r="B31" s="35" t="s">
        <v>250</v>
      </c>
      <c r="C31" s="45">
        <f t="shared" ref="C31:I31" si="4">C12-C30</f>
        <v>9254760.3279429972</v>
      </c>
      <c r="D31" s="45">
        <f t="shared" si="4"/>
        <v>6211587.1155666411</v>
      </c>
      <c r="E31" s="45">
        <f t="shared" si="4"/>
        <v>6687144.3970144391</v>
      </c>
      <c r="F31" s="45">
        <f t="shared" si="4"/>
        <v>7229833.3529311717</v>
      </c>
      <c r="G31" s="45">
        <f t="shared" si="4"/>
        <v>7838934.5460456312</v>
      </c>
      <c r="H31" s="45">
        <f t="shared" si="4"/>
        <v>8512769.4141441882</v>
      </c>
      <c r="I31" s="45">
        <f t="shared" si="4"/>
        <v>9254869.8752208054</v>
      </c>
    </row>
    <row r="32" spans="1:9">
      <c r="A32" s="43"/>
      <c r="B32" s="39" t="s">
        <v>251</v>
      </c>
      <c r="C32" s="39"/>
      <c r="D32" s="46">
        <f t="shared" ref="D32:I32" si="5">C33</f>
        <v>9254760.3279429972</v>
      </c>
      <c r="E32" s="46">
        <f t="shared" si="5"/>
        <v>15466347.443509638</v>
      </c>
      <c r="F32" s="46">
        <f t="shared" si="5"/>
        <v>22153491.840524077</v>
      </c>
      <c r="G32" s="46">
        <f t="shared" si="5"/>
        <v>29383325.193455249</v>
      </c>
      <c r="H32" s="46">
        <f t="shared" si="5"/>
        <v>37222259.73950088</v>
      </c>
      <c r="I32" s="46">
        <f t="shared" si="5"/>
        <v>45735029.153645068</v>
      </c>
    </row>
    <row r="33" spans="1:10">
      <c r="A33" s="35"/>
      <c r="B33" s="47" t="s">
        <v>252</v>
      </c>
      <c r="C33" s="45">
        <f t="shared" ref="C33:I33" si="6">C31+C32</f>
        <v>9254760.3279429972</v>
      </c>
      <c r="D33" s="45">
        <f t="shared" si="6"/>
        <v>15466347.443509638</v>
      </c>
      <c r="E33" s="45">
        <f t="shared" si="6"/>
        <v>22153491.840524077</v>
      </c>
      <c r="F33" s="45">
        <f t="shared" si="6"/>
        <v>29383325.193455249</v>
      </c>
      <c r="G33" s="45">
        <f t="shared" si="6"/>
        <v>37222259.73950088</v>
      </c>
      <c r="H33" s="45">
        <f t="shared" si="6"/>
        <v>45735029.153645068</v>
      </c>
      <c r="I33" s="45">
        <f t="shared" si="6"/>
        <v>54989899.028865874</v>
      </c>
    </row>
    <row r="35" spans="1:10" ht="40" customHeight="1">
      <c r="A35" s="453" t="s">
        <v>422</v>
      </c>
      <c r="B35" s="453"/>
      <c r="C35" s="453"/>
      <c r="D35" s="453"/>
      <c r="E35" s="453"/>
      <c r="F35" s="453"/>
      <c r="G35" s="453"/>
      <c r="H35" s="453"/>
      <c r="I35" s="453"/>
      <c r="J35" s="453"/>
    </row>
    <row r="37" spans="1:10">
      <c r="C37" s="60"/>
    </row>
    <row r="38" spans="1:10">
      <c r="C38" s="60"/>
    </row>
    <row r="39" spans="1:10">
      <c r="C39" s="60"/>
    </row>
    <row r="40" spans="1:10">
      <c r="C40" s="60"/>
    </row>
    <row r="41" spans="1:10">
      <c r="C41" s="60"/>
    </row>
  </sheetData>
  <mergeCells count="4">
    <mergeCell ref="A1:G1"/>
    <mergeCell ref="A13:B13"/>
    <mergeCell ref="A2:I2"/>
    <mergeCell ref="A35:J35"/>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2022-05-06T09:17:09Z</dcterms:modified>
</cp:coreProperties>
</file>